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811" activeTab="0"/>
  </bookViews>
  <sheets>
    <sheet name="scrap" sheetId="1" r:id="rId1"/>
    <sheet name="E-WASTE" sheetId="2" r:id="rId2"/>
  </sheets>
  <definedNames>
    <definedName name="_xlnm.Print_Area" localSheetId="1">'E-WASTE'!$A$1:$C$27</definedName>
    <definedName name="_xlnm.Print_Area" localSheetId="0">'scrap'!$A$1:$E$1167</definedName>
  </definedNames>
  <calcPr fullCalcOnLoad="1"/>
</workbook>
</file>

<file path=xl/sharedStrings.xml><?xml version="1.0" encoding="utf-8"?>
<sst xmlns="http://schemas.openxmlformats.org/spreadsheetml/2006/main" count="1891" uniqueCount="704">
  <si>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</si>
  <si>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</si>
  <si>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</si>
  <si>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</si>
  <si>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</si>
  <si>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</si>
  <si>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</si>
  <si>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</si>
  <si>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</si>
  <si>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</si>
  <si>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</si>
  <si>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</si>
  <si>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</si>
  <si>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</si>
  <si>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</si>
  <si>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</si>
  <si>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</si>
  <si>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</si>
  <si>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</si>
  <si>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</si>
  <si>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</si>
  <si>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</si>
  <si>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</si>
  <si>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</si>
  <si>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</si>
  <si>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</si>
  <si>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</si>
  <si>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</si>
  <si>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</si>
  <si>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</si>
  <si>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</si>
  <si>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</si>
  <si>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</si>
  <si>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</si>
  <si>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</si>
  <si>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</si>
  <si>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</si>
  <si>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</si>
  <si>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</si>
  <si>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</si>
  <si>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</si>
  <si>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</si>
  <si>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</si>
  <si>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</si>
  <si>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</si>
  <si>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</si>
  <si>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</si>
  <si>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</si>
  <si>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</si>
  <si>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</si>
  <si>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</si>
  <si>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</si>
  <si>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</si>
  <si>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</si>
  <si>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</si>
  <si>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</si>
  <si>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</si>
  <si>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</si>
  <si>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</si>
  <si>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</si>
  <si>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</si>
  <si>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</si>
  <si>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</si>
  <si>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</si>
  <si>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</si>
  <si>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</si>
  <si>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</si>
  <si>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</si>
  <si>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</si>
  <si>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</si>
  <si>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</si>
  <si>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</si>
  <si>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</si>
  <si>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</si>
  <si>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</si>
  <si>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</si>
  <si>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</si>
  <si>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</si>
  <si>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</si>
  <si>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</si>
  <si>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</si>
  <si>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</si>
  <si>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</si>
  <si>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</si>
  <si>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</si>
  <si>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</si>
  <si>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</si>
  <si>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</si>
  <si>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</si>
  <si>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</si>
  <si>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</si>
  <si>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</si>
  <si>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</si>
  <si>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</si>
  <si>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</si>
  <si>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</si>
  <si>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</si>
  <si>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</si>
  <si>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</si>
  <si>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</si>
  <si>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</si>
  <si>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</si>
  <si>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</si>
  <si>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</si>
  <si>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</si>
  <si>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</si>
  <si>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</si>
  <si>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</si>
  <si>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</si>
  <si>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</si>
  <si>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</si>
  <si>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</si>
  <si>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</si>
  <si>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</si>
  <si>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</si>
  <si>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</si>
  <si>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</si>
  <si>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</si>
  <si>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</si>
  <si>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</si>
  <si>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</si>
  <si>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</si>
  <si>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</si>
  <si>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</si>
  <si>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</si>
  <si>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</si>
  <si>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</si>
  <si>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</si>
  <si>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</si>
  <si>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</si>
  <si>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</si>
  <si>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</si>
  <si>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</si>
  <si>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</si>
  <si>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</si>
  <si>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</si>
  <si>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</si>
  <si>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</si>
  <si>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</si>
  <si>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</si>
  <si>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</si>
  <si>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</si>
  <si>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</si>
  <si>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</si>
  <si>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</si>
  <si>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</si>
  <si>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</si>
  <si>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</si>
  <si>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</si>
  <si>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</si>
  <si>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</si>
  <si>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</si>
  <si>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</si>
  <si>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</si>
  <si>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</si>
  <si>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</si>
  <si>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</si>
  <si>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</si>
  <si>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</si>
  <si>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</si>
  <si>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</si>
  <si>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</si>
  <si>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</si>
  <si>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</si>
  <si>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</si>
  <si>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</si>
  <si>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</si>
  <si>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</si>
  <si>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</si>
  <si>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</si>
  <si>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</si>
  <si>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</si>
  <si>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</si>
  <si>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</si>
  <si>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</si>
  <si>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</si>
  <si>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</si>
  <si>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</si>
  <si>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</si>
  <si>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</si>
  <si>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</si>
  <si>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</si>
  <si>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</si>
  <si>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</si>
  <si>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</si>
  <si>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</si>
  <si>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</si>
  <si>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</si>
  <si>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</si>
  <si>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</si>
  <si>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</si>
  <si>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</si>
  <si>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</si>
  <si>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</si>
  <si>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</si>
  <si>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</si>
  <si>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</si>
  <si>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</si>
  <si>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</si>
  <si>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</si>
  <si>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</si>
  <si>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</si>
  <si>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</si>
  <si>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</si>
  <si>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</si>
  <si>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</si>
  <si>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</si>
  <si>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</si>
  <si>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</si>
  <si>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</si>
  <si>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</si>
  <si>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</si>
  <si>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</si>
  <si>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</si>
  <si>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</si>
  <si>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</si>
  <si>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</si>
  <si>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</si>
  <si>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</si>
  <si>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</si>
  <si>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</si>
  <si>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</si>
  <si>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</si>
  <si>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</si>
  <si>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</si>
  <si>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</si>
  <si>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</si>
  <si>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</si>
  <si>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</si>
  <si>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</si>
  <si>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</si>
  <si>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</si>
  <si>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</si>
  <si>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</si>
  <si>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</si>
  <si>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</si>
  <si>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</si>
  <si>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</si>
  <si>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</si>
  <si>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</si>
  <si>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</si>
  <si>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</si>
  <si>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</si>
  <si>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</si>
  <si>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</si>
  <si>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</si>
  <si>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</si>
  <si>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</si>
  <si>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</si>
  <si>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</si>
  <si>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</si>
  <si>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</si>
  <si>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</si>
  <si>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</si>
  <si>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</si>
  <si>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</si>
  <si>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</si>
  <si>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</si>
  <si>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</si>
  <si>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</si>
  <si>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</si>
  <si>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</si>
  <si>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</si>
  <si>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</si>
  <si>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</si>
  <si>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</si>
  <si>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</si>
  <si>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</si>
  <si>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</si>
  <si>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</si>
  <si>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</si>
  <si>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</si>
  <si>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</si>
  <si>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</si>
  <si>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</si>
  <si>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</si>
  <si>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</si>
  <si>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</si>
  <si>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</si>
  <si>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</si>
  <si>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</si>
  <si>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</si>
  <si>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</si>
  <si>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</si>
  <si>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</si>
  <si>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</si>
  <si>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</si>
  <si>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</si>
  <si>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CS Mohali (.314 MT intermingle)</t>
  </si>
  <si>
    <t>PP-1, SICL-1, MCPL-1</t>
  </si>
  <si>
    <t>SARAF-1, SICL-2, PP-1, NUCON-1,DURA-2, SHIVALIK-3</t>
  </si>
  <si>
    <t>WNP-8  (unstandard tf's)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</si>
  <si>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</si>
  <si>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</si>
  <si>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</si>
  <si>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</si>
  <si>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</si>
  <si>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</si>
  <si>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</si>
  <si>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</si>
  <si>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</si>
  <si>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</si>
  <si>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</si>
  <si>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</si>
  <si>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</si>
  <si>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</si>
  <si>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</si>
  <si>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</si>
  <si>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</si>
  <si>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</si>
  <si>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</si>
  <si>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</si>
  <si>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</si>
  <si>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</si>
  <si>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</si>
  <si>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</si>
  <si>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</si>
  <si>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</si>
  <si>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</si>
  <si>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Lot no. E - 16</t>
  </si>
  <si>
    <t>Lot No A-15</t>
  </si>
  <si>
    <t>Lot No A-16</t>
  </si>
  <si>
    <t>Lot No A-17</t>
  </si>
  <si>
    <t>Central Store Malout</t>
  </si>
  <si>
    <t>Lot no. I-7</t>
  </si>
  <si>
    <t>OL Shri Mukfsar Sahib</t>
  </si>
  <si>
    <t>Lot No. I-15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</si>
  <si>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</si>
  <si>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</si>
  <si>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</si>
  <si>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</si>
  <si>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</si>
  <si>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</si>
  <si>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</si>
  <si>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</si>
  <si>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>KKK/2023/157</t>
  </si>
  <si>
    <t xml:space="preserve">NPC = 2, HRP = 2, JK = 1, MRN = 1, JB = 3, DTPL = 3, PP = 1, SIC = 1, JR = 1, WNP = 1, SHK = 1, SSK = 1, TA = 1, PTEL = 1                </t>
  </si>
  <si>
    <t>KKK/2023/160</t>
  </si>
  <si>
    <t xml:space="preserve">DTPL = 6, JB = 1, ASI = 2, PP = 2, SUSHIL = 1, MUSKAN = 1,  HTT = 1, UBE = 1, JR = 2, WNP = 1                                                      </t>
  </si>
  <si>
    <t>KKK/2023/162</t>
  </si>
  <si>
    <t xml:space="preserve">UBE = 1, PP = 2, SKSU = 1, NSL = 1, TA = 1, NPC = 1                </t>
  </si>
  <si>
    <t>KKK/2023/165</t>
  </si>
  <si>
    <t xml:space="preserve">NPC = 1, TA = 2, SHK = 2, MRN = 1, HRP = 1, DTPL = 1, SEF = 1, PP = 1                                                                                          </t>
  </si>
  <si>
    <t>KKK/2023/159</t>
  </si>
  <si>
    <t xml:space="preserve">EPS = 6, SIC = 1, JB = 7, PTEL = 1, ARD = 3                           </t>
  </si>
  <si>
    <t>KKK/2023/164</t>
  </si>
  <si>
    <t>25 KVA (BODY &amp; CORE)</t>
  </si>
  <si>
    <t xml:space="preserve">PTEL = 2, TA = 1, NPC = 3, SEF = 2                                              </t>
  </si>
  <si>
    <t>KKK/2023/166</t>
  </si>
  <si>
    <t xml:space="preserve">SIC = 1, ECE = 1, JB = 1                                                                               </t>
  </si>
  <si>
    <t>KKK/2023/167</t>
  </si>
  <si>
    <t xml:space="preserve">SEF = 1, WNP = 1                                                                              </t>
  </si>
  <si>
    <t>KKK/2023/161</t>
  </si>
  <si>
    <t xml:space="preserve">WNP =20.(unstandard tf's)                                                                     </t>
  </si>
  <si>
    <t>KKK/2023/163</t>
  </si>
  <si>
    <t xml:space="preserve">WNP =1.(unstandard tf's)                                                                     </t>
  </si>
  <si>
    <t>KKK/2023/168</t>
  </si>
  <si>
    <t xml:space="preserve">WNP =6.(unstandard tf's)                                                                     </t>
  </si>
  <si>
    <t>KKK/2023/158</t>
  </si>
  <si>
    <t xml:space="preserve">6.3  KVA                  </t>
  </si>
  <si>
    <t xml:space="preserve">WNP =8.(unstandard tf's)                                                                     </t>
  </si>
  <si>
    <t xml:space="preserve">10 KVA             </t>
  </si>
  <si>
    <t>PP -1</t>
  </si>
  <si>
    <t>PP-1, RR-1, SARAF-1, SHIVALIK-2</t>
  </si>
  <si>
    <t xml:space="preserve">WNP =2.(unstandard tf's)                                                                     </t>
  </si>
  <si>
    <t>SICL-3, PTEL-7, BGL-1, JB-2, ECO-1, PVJ-1, NBGL-1, MS-1, PP-1, JINDAL-1,DURA-1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</si>
  <si>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</si>
  <si>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</si>
  <si>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</si>
  <si>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</si>
  <si>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</si>
  <si>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</si>
  <si>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</si>
  <si>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</si>
  <si>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</si>
  <si>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</si>
  <si>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</si>
  <si>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</si>
  <si>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</si>
  <si>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</si>
  <si>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</si>
  <si>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</si>
  <si>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</si>
  <si>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</si>
  <si>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</si>
  <si>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</si>
  <si>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</si>
  <si>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</si>
  <si>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</si>
  <si>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</si>
  <si>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>Iron scrap of Bush fixings</t>
  </si>
  <si>
    <t>CS PATIALA  (U/S STABLIZERS)</t>
  </si>
  <si>
    <t>NUCON 1, JR 2, PP 1, SKSU 1,</t>
  </si>
  <si>
    <t>PP 1, SKSU 1, JR 5, SICL 2, DURABLE 2, SHIVSHKTI 1</t>
  </si>
  <si>
    <t>JB 8, SICL 1, PTEL 1, ARD 1</t>
  </si>
  <si>
    <t>M&amp;M 1, JR 2, NPC 1,</t>
  </si>
  <si>
    <t>SICL 1, JB 1, RTS 1</t>
  </si>
  <si>
    <t>MRN 1,</t>
  </si>
  <si>
    <t>SICL 2, MANU POWER 1</t>
  </si>
  <si>
    <t>SICL 1, HITECH 2, JB 1,</t>
  </si>
  <si>
    <t xml:space="preserve">NPC 1, PP 1(unstandard tf's)      </t>
  </si>
  <si>
    <t xml:space="preserve">JR 1, AGARWAL 1,(unstandard tf's)      </t>
  </si>
  <si>
    <t>195/2023</t>
  </si>
  <si>
    <t>196/2023</t>
  </si>
  <si>
    <t>197/2023</t>
  </si>
  <si>
    <t>198/2023</t>
  </si>
  <si>
    <t>199/2023</t>
  </si>
  <si>
    <t>201/2023</t>
  </si>
  <si>
    <t>202/2023</t>
  </si>
  <si>
    <t>203/2023</t>
  </si>
  <si>
    <t>200/2023</t>
  </si>
  <si>
    <t>204/2023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</si>
  <si>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</si>
  <si>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</si>
  <si>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</si>
  <si>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</si>
  <si>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</si>
  <si>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</si>
  <si>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</si>
  <si>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</si>
  <si>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</si>
  <si>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</si>
  <si>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</si>
  <si>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SHRI KRISHNA-1,SARAF-1</t>
  </si>
  <si>
    <t>AGGARWAL-7,GTB-1,HR-1,JB-1,JR-2,MS-5,SICL-2,SUSHIL-2, UTTAM-3</t>
  </si>
  <si>
    <t>SICL-1,NUCON-1,JB-1,MUSKAN-1,VKG-1</t>
  </si>
  <si>
    <t>WNP-23 (unstandard tf's)</t>
  </si>
  <si>
    <t>WNP-17 (unstandard tf's)</t>
  </si>
  <si>
    <t>Lot No AA-2</t>
  </si>
  <si>
    <t>Lot No. I-16</t>
  </si>
  <si>
    <t>Lot No. I-17</t>
  </si>
  <si>
    <t>Lot No. I-18</t>
  </si>
  <si>
    <t>DURABLE=1,HRP=3.JB=1,JM=1,JR=3,MS=2,NUCON=4,PP=4,SARAF=1,SHIVA=1,TA=4</t>
  </si>
  <si>
    <t>ARD=3,ECO=4,JB=12,PTEL=1,SICL=5</t>
  </si>
  <si>
    <t>ARD=2,ECO=1,JB=12,JR=1,PTEL=5,SICL=4</t>
  </si>
  <si>
    <t>ARD=1,ECO=3.JB=16,PP=1,PTEL=2,SICL=2</t>
  </si>
  <si>
    <t>ARD=4,ECO=5,JB=10,JR=2,PTEL=1,SICL=3</t>
  </si>
  <si>
    <t>25 KVA (CORE &amp; TANK)</t>
  </si>
  <si>
    <t>LIBERTY T/FS BATHINDA -24</t>
  </si>
  <si>
    <t xml:space="preserve">ME LAB ROPAR  (Electronic Meter Scrap/E-Waste )  </t>
  </si>
  <si>
    <t>HR-1</t>
  </si>
  <si>
    <t>HR-1, PP-1, SHIVALIK-4</t>
  </si>
  <si>
    <t>WNP-4  (unstandard tf's)</t>
  </si>
  <si>
    <t>JB-4, PAN-1, PTEL-3, SICL-1, MCPL-2, SARAF-1, NUCON-1, DURABLE-1, SHIV SHAKTI-1, SHIVALIK-5</t>
  </si>
  <si>
    <t>DTPL-1</t>
  </si>
  <si>
    <t>PP-2, ARD-1,PTEL-1,SARAF-1</t>
  </si>
  <si>
    <t>WNP-19 (unstandard tf's)</t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</si>
  <si>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</si>
  <si>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63 KVA (CORE &amp; TANK)</t>
  </si>
  <si>
    <t>SARAF-2, MRN-2, PP-2, JR-1, PTEL-1, NPC-1,SIC-1</t>
  </si>
  <si>
    <t>Tubular Poles scrap</t>
  </si>
  <si>
    <t xml:space="preserve">ME LAB BATHINDA  (Electronic Meter Scrap/E-Waste )  </t>
  </si>
  <si>
    <t xml:space="preserve">ME LAB MOGA (Electronic Meter Scrap/E-Waste )  </t>
  </si>
  <si>
    <t>Lot No. I-19</t>
  </si>
  <si>
    <t>Lot No. I-20</t>
  </si>
  <si>
    <t>Lot no. Q-29</t>
  </si>
  <si>
    <t>CS Ferozepur (.015 MT Intermingle)</t>
  </si>
  <si>
    <t>Lot No A-18</t>
  </si>
  <si>
    <t>Lot no. G - 12</t>
  </si>
  <si>
    <t>OL Shri Mukatsar Sahib</t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</si>
  <si>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</si>
  <si>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</si>
  <si>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</si>
  <si>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</si>
  <si>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</si>
  <si>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</si>
  <si>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</si>
  <si>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</si>
  <si>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</si>
  <si>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</si>
  <si>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</si>
  <si>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</si>
  <si>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</si>
  <si>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</si>
  <si>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</si>
  <si>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</si>
  <si>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</si>
  <si>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</si>
  <si>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</si>
  <si>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</si>
  <si>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</si>
  <si>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</si>
  <si>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</si>
  <si>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</si>
  <si>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</si>
  <si>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</si>
  <si>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</si>
  <si>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Lot no. E - 19</t>
  </si>
  <si>
    <t>G.I. Wire/GSL scrap</t>
  </si>
  <si>
    <t>Lot No B-11</t>
  </si>
  <si>
    <t>KKK/2023/170</t>
  </si>
  <si>
    <t xml:space="preserve">DTPL = 8, MRN = 3, TA = 1, PTEL = 2, SKY WAY = 1, SHK = 1, HRP = 1, NPC = 1, PP = 2                                                                    </t>
  </si>
  <si>
    <t>KKK/2023/175</t>
  </si>
  <si>
    <t xml:space="preserve">UBE = 1, NPC = 3, SKY WAY = 1, DTPL = 1                                  </t>
  </si>
  <si>
    <t>KKK/2023/176</t>
  </si>
  <si>
    <t xml:space="preserve">PP = 1, PTEL = 1, NSL = 1, SUSHIL = 1, JB = 1, DTPL = 1, JR = 1 </t>
  </si>
  <si>
    <t>KKK/2023/177</t>
  </si>
  <si>
    <t xml:space="preserve">WNP = 01 NO. (unstandard tf's)                                                                                         </t>
  </si>
  <si>
    <t>KKK/2023/179</t>
  </si>
  <si>
    <t xml:space="preserve">PP = 1, MRN = 1, SEF = 1, SHK = 1, HRP = 1, SIC = 1                  </t>
  </si>
  <si>
    <t>KKK/2023/174</t>
  </si>
  <si>
    <t xml:space="preserve">SIC = 2, PTEL = 2, EPS = 4, JB = 2, ARD = 3, SBJ = 1 </t>
  </si>
  <si>
    <t>KKK/2023/173</t>
  </si>
  <si>
    <t xml:space="preserve">TA = 1, ACCURATE = 1                                                                                  </t>
  </si>
  <si>
    <t>KKK/2023/180</t>
  </si>
  <si>
    <t xml:space="preserve">WNP = 5, SEF = 1, ECE = 1, JB = 2, TA = 1                                            </t>
  </si>
  <si>
    <t>KKK/2023/169</t>
  </si>
  <si>
    <t xml:space="preserve">WNP = 09 NO.(unstandard tf's)                                                                       </t>
  </si>
  <si>
    <t>KKK/2023/171</t>
  </si>
  <si>
    <t xml:space="preserve">WNP = 16 NO. (unstandard tf's)                                                                     </t>
  </si>
  <si>
    <t>KKK/2023/172</t>
  </si>
  <si>
    <t xml:space="preserve">16  KVA                     </t>
  </si>
  <si>
    <t xml:space="preserve">WNP = 05 NO.  (unstandard tf's)                                                                     </t>
  </si>
  <si>
    <t>KKK/2023/178</t>
  </si>
  <si>
    <t xml:space="preserve">PTEL = 1, NSL = 1, VIJAI = 1, NPC = 1, SIC = 2 </t>
  </si>
  <si>
    <t xml:space="preserve">10   KVA                  </t>
  </si>
  <si>
    <t>10  KVA</t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</si>
  <si>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</si>
  <si>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</si>
  <si>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</si>
  <si>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</si>
  <si>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</si>
  <si>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</si>
  <si>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</si>
  <si>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</si>
  <si>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</si>
  <si>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CS Bathinda (.134 MT intermingle)</t>
  </si>
  <si>
    <t>Lot no. E - 20</t>
  </si>
  <si>
    <t>Lot no. E - 21</t>
  </si>
  <si>
    <t>Lot no. G - 14</t>
  </si>
  <si>
    <t>M.S Iron scrap</t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</si>
  <si>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</si>
  <si>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NUCON-3,MAHASHAKTI-5,MANUPOWER-1,SICL-1</t>
  </si>
  <si>
    <t>Lot no. E - 22</t>
  </si>
  <si>
    <t>Lot no. E - 23</t>
  </si>
  <si>
    <t>Lot No B-12</t>
  </si>
  <si>
    <t>Lot No B-13</t>
  </si>
  <si>
    <t xml:space="preserve">10  KVA                   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</si>
  <si>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</si>
  <si>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</si>
  <si>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</si>
  <si>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</si>
  <si>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</si>
  <si>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</si>
  <si>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</si>
  <si>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</si>
  <si>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</si>
  <si>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</si>
  <si>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</si>
  <si>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</si>
  <si>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</si>
  <si>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</si>
  <si>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</si>
  <si>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</si>
  <si>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</si>
  <si>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</si>
  <si>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</si>
  <si>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</si>
  <si>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</si>
  <si>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</si>
  <si>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</si>
  <si>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Lot no. Q-30</t>
  </si>
  <si>
    <t>Outlet store Nabha (.023 MT Intermingle)</t>
  </si>
  <si>
    <t>Lot No A-19</t>
  </si>
  <si>
    <t>M.S. Girder Scrap</t>
  </si>
  <si>
    <t>MS Nuts &amp; bolts scrap</t>
  </si>
  <si>
    <t>Cast Iron Scrap</t>
  </si>
  <si>
    <t>Lamination scrap</t>
  </si>
  <si>
    <t>Lot no. E - 24</t>
  </si>
  <si>
    <t>OLNabha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</si>
  <si>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</si>
  <si>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</si>
  <si>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</si>
  <si>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</si>
  <si>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</si>
  <si>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</si>
  <si>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</si>
  <si>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</si>
  <si>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</si>
  <si>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</si>
  <si>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</si>
  <si>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</si>
  <si>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</si>
  <si>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</si>
  <si>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AGGARWAL=2,JB=4,JR=5,MS=2,NV=1,PP=2,PTEL=1,SARAF=1,SICL=3,SK=1,SUSHIL=2,UTTAM=1</t>
  </si>
  <si>
    <t>AGGARWAL=2,ECO=2,JINDAL=1,JM=1,JR=4,,MS=4,NBGL=1,PAN=2,PP=2,PTEL=1,PVJ=1,SICL=1,   UTTAM=3</t>
  </si>
  <si>
    <t>AGGARWAL=3,ECO=2,GTB=2,HITECH=1,JB=1,JR=7,PP=4,PTEL=1,SARAF=1,SICL=1,UTTAM=2</t>
  </si>
  <si>
    <t>AGGARWAL=1,ARD=1,DURABLE=1,ECO=1,HITECH=1,JB=4,JM=2, JR=5,MS=2,MUSKAN=1,NUCON=1,PP=1,PTEL=1,SARAF=1,SICK=1,UTTAM=1</t>
  </si>
  <si>
    <t>BGL=1,ECO=1,JB=2,JM=4,JR=7,MS=4,PP=1,SARAF=1,SUSHIL=2,UTTAM=2</t>
  </si>
  <si>
    <t>AGGARWAL=1,JM=5,JR=1,MS=1,PP=3,SICL=1,SUSHIL=1</t>
  </si>
  <si>
    <t>25 KVA  (CORE &amp; TANK)</t>
  </si>
  <si>
    <t>AGGARWAL=1,ECO=2,HRP-1, JB=2,JM=6,JM=6,JR=5,MUSKAN=1,NICON=1,PP=2,SICL=2,SUSHIL=1,UTTAM=1</t>
  </si>
  <si>
    <t>LIBERTY  T/FS BATHINDA-15</t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</si>
  <si>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</si>
  <si>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</si>
  <si>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</si>
  <si>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</si>
  <si>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</si>
  <si>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</si>
  <si>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</si>
  <si>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</si>
  <si>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</si>
  <si>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</si>
  <si>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</si>
  <si>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</si>
  <si>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</si>
  <si>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</si>
  <si>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</si>
  <si>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</si>
  <si>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</si>
  <si>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</si>
  <si>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</si>
  <si>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</si>
  <si>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</si>
  <si>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</si>
  <si>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</si>
  <si>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</si>
  <si>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</si>
  <si>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</si>
  <si>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</si>
  <si>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</si>
  <si>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</si>
  <si>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</si>
  <si>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</si>
  <si>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</si>
  <si>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</si>
  <si>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</si>
  <si>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</si>
  <si>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</si>
  <si>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</si>
  <si>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</si>
  <si>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</si>
  <si>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A-20</t>
  </si>
  <si>
    <t>Lot No B-15</t>
  </si>
  <si>
    <t>Lot No B-16</t>
  </si>
  <si>
    <t>Lot No B-17</t>
  </si>
  <si>
    <t>Lot no. E - 25</t>
  </si>
  <si>
    <t>Lot No B-18</t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</si>
  <si>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</si>
  <si>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</si>
  <si>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</si>
  <si>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</si>
  <si>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t>Lot no. Q-31</t>
  </si>
  <si>
    <t>Lot no. Q-32</t>
  </si>
  <si>
    <t>Lot no. Q-33</t>
  </si>
  <si>
    <t>Outlet store Bhagta Bhai Ka( .068 MT Intermingle)</t>
  </si>
  <si>
    <t>UTTAM-1,WNP-15 (unstandard tf's)</t>
  </si>
  <si>
    <t>SEN-4,JB-2,ECE-1,ELECTRA-3,TA-1</t>
  </si>
  <si>
    <t>NSL-1,SIC-2,SEN-1,ELECTRA-1,PME-1</t>
  </si>
  <si>
    <t>Lot no. Q-34</t>
  </si>
  <si>
    <t>q5 lot and q 34 (out od 4.112…2 mt separate)</t>
  </si>
  <si>
    <t>Lot No B-19</t>
  </si>
  <si>
    <t>Lot No B-20</t>
  </si>
  <si>
    <t>Lot No B-21</t>
  </si>
  <si>
    <t>Lot No B-22</t>
  </si>
  <si>
    <t xml:space="preserve">CS Kotkapura </t>
  </si>
  <si>
    <t>Lot no. Q-9</t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</si>
  <si>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</si>
  <si>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</si>
  <si>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</si>
  <si>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t>SICL-1</t>
  </si>
  <si>
    <t>HI TECH-1</t>
  </si>
  <si>
    <t>JR-1</t>
  </si>
  <si>
    <t>PP-1 (unstandard tf's)</t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</si>
  <si>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</si>
  <si>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t>PTEL-3,  DTPL-1, NUCON-1, SICL-3, HRP-1, PPI-4, MCPL-1</t>
  </si>
  <si>
    <t>Lot No B-23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</si>
  <si>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</si>
  <si>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</si>
  <si>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</si>
  <si>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</si>
  <si>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</si>
  <si>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</si>
  <si>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</si>
  <si>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</si>
  <si>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</si>
  <si>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</si>
  <si>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</si>
  <si>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</si>
  <si>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</si>
  <si>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</si>
  <si>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</si>
  <si>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</si>
  <si>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</si>
  <si>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</si>
  <si>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</si>
  <si>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</si>
  <si>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</si>
  <si>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</si>
  <si>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</si>
  <si>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</si>
  <si>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</si>
  <si>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</si>
  <si>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 xml:space="preserve">NOTE : Before lifting of Transformers (From Lot no. C-1 to C-34), HT/LT copper winding coils of transformers shall be mutilated by the purchaser. </t>
  </si>
  <si>
    <t>CS PATIALA  (U/S AC SPLIT)</t>
  </si>
  <si>
    <t>U/S Typewriters</t>
  </si>
  <si>
    <t>Lot No. I-9</t>
  </si>
  <si>
    <t>Lot no. E - 26</t>
  </si>
  <si>
    <t>EA-67 /PTA-2023-24</t>
  </si>
  <si>
    <t>30.01.2024</t>
  </si>
  <si>
    <t>S &amp; T Store Bathinda (1.367 MT Intermingle)</t>
  </si>
  <si>
    <t>Lot no. Q-35</t>
  </si>
  <si>
    <t>new</t>
  </si>
  <si>
    <t>U/S Ceiling Fans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</si>
</sst>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</numFmts>
  <fonts count="8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6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top"/>
    </xf>
    <xf numFmtId="1" fontId="77" fillId="0" borderId="0" xfId="0" applyNumberFormat="1" applyFont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8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4" fontId="73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3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3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3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3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/>
    </xf>
    <xf numFmtId="184" fontId="78" fillId="0" borderId="21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4" fillId="0" borderId="16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1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3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top" wrapText="1"/>
    </xf>
    <xf numFmtId="184" fontId="73" fillId="0" borderId="23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3" fillId="0" borderId="13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75" fillId="0" borderId="13" xfId="0" applyFont="1" applyBorder="1" applyAlignment="1">
      <alignment/>
    </xf>
    <xf numFmtId="184" fontId="69" fillId="0" borderId="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top" wrapText="1"/>
    </xf>
    <xf numFmtId="184" fontId="73" fillId="0" borderId="0" xfId="0" applyNumberFormat="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3" fillId="0" borderId="25" xfId="0" applyNumberFormat="1" applyFont="1" applyFill="1" applyBorder="1" applyAlignment="1">
      <alignment horizontal="center" vertical="top" wrapText="1"/>
    </xf>
    <xf numFmtId="0" fontId="69" fillId="0" borderId="15" xfId="0" applyFont="1" applyFill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top" wrapText="1"/>
    </xf>
    <xf numFmtId="184" fontId="2" fillId="0" borderId="15" xfId="0" applyNumberFormat="1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/>
    </xf>
    <xf numFmtId="0" fontId="73" fillId="0" borderId="15" xfId="0" applyFont="1" applyFill="1" applyBorder="1" applyAlignment="1">
      <alignment horizontal="center" vertical="center" wrapText="1"/>
    </xf>
    <xf numFmtId="184" fontId="78" fillId="0" borderId="15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3" fillId="0" borderId="0" xfId="0" applyNumberFormat="1" applyFont="1" applyFill="1" applyBorder="1" applyAlignment="1">
      <alignment horizontal="center" vertical="center" wrapText="1"/>
    </xf>
    <xf numFmtId="184" fontId="73" fillId="0" borderId="26" xfId="0" applyNumberFormat="1" applyFont="1" applyFill="1" applyBorder="1" applyAlignment="1">
      <alignment horizontal="center" vertical="center" wrapText="1"/>
    </xf>
    <xf numFmtId="184" fontId="76" fillId="0" borderId="12" xfId="0" applyNumberFormat="1" applyFont="1" applyFill="1" applyBorder="1" applyAlignment="1">
      <alignment horizontal="center" vertical="center" wrapText="1"/>
    </xf>
    <xf numFmtId="1" fontId="78" fillId="0" borderId="16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84" fontId="73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78" fillId="0" borderId="11" xfId="0" applyNumberFormat="1" applyFont="1" applyFill="1" applyBorder="1" applyAlignment="1">
      <alignment horizontal="center"/>
    </xf>
    <xf numFmtId="184" fontId="73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78" fillId="0" borderId="16" xfId="0" applyNumberFormat="1" applyFont="1" applyFill="1" applyBorder="1" applyAlignment="1">
      <alignment horizontal="center"/>
    </xf>
    <xf numFmtId="184" fontId="73" fillId="0" borderId="12" xfId="0" applyNumberFormat="1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4" fontId="78" fillId="0" borderId="16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7" fontId="9" fillId="32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84" fontId="9" fillId="0" borderId="2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8" fillId="0" borderId="13" xfId="57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top" wrapText="1"/>
    </xf>
    <xf numFmtId="0" fontId="73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3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3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184" fontId="78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78" fillId="0" borderId="13" xfId="0" applyFont="1" applyBorder="1" applyAlignment="1">
      <alignment horizontal="center" vertical="top" wrapText="1"/>
    </xf>
    <xf numFmtId="184" fontId="78" fillId="0" borderId="13" xfId="0" applyNumberFormat="1" applyFont="1" applyFill="1" applyBorder="1" applyAlignment="1">
      <alignment horizontal="center" vertical="top" wrapText="1"/>
    </xf>
    <xf numFmtId="184" fontId="75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3" fillId="0" borderId="21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justify" vertical="top" wrapText="1"/>
    </xf>
    <xf numFmtId="0" fontId="74" fillId="0" borderId="21" xfId="0" applyFont="1" applyFill="1" applyBorder="1" applyAlignment="1">
      <alignment horizontal="justify" vertical="top" wrapText="1"/>
    </xf>
    <xf numFmtId="0" fontId="72" fillId="0" borderId="28" xfId="0" applyFont="1" applyFill="1" applyBorder="1" applyAlignment="1">
      <alignment horizontal="center" vertical="top" wrapText="1"/>
    </xf>
    <xf numFmtId="0" fontId="72" fillId="0" borderId="29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83" fillId="0" borderId="19" xfId="0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center" vertical="top" wrapText="1"/>
    </xf>
    <xf numFmtId="0" fontId="73" fillId="0" borderId="30" xfId="0" applyFont="1" applyFill="1" applyBorder="1" applyAlignment="1">
      <alignment horizontal="center" vertical="top" wrapText="1"/>
    </xf>
    <xf numFmtId="0" fontId="73" fillId="0" borderId="31" xfId="0" applyFont="1" applyFill="1" applyBorder="1" applyAlignment="1">
      <alignment horizontal="center" vertical="top" wrapText="1"/>
    </xf>
    <xf numFmtId="0" fontId="72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3" fillId="0" borderId="32" xfId="0" applyFont="1" applyFill="1" applyBorder="1" applyAlignment="1">
      <alignment horizontal="center" vertical="top" wrapText="1"/>
    </xf>
    <xf numFmtId="0" fontId="73" fillId="0" borderId="33" xfId="0" applyFont="1" applyFill="1" applyBorder="1" applyAlignment="1">
      <alignment horizontal="center" vertical="top" wrapText="1"/>
    </xf>
    <xf numFmtId="0" fontId="72" fillId="0" borderId="17" xfId="0" applyFont="1" applyFill="1" applyBorder="1" applyAlignment="1">
      <alignment horizontal="left" vertical="top" wrapText="1"/>
    </xf>
    <xf numFmtId="0" fontId="72" fillId="0" borderId="18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2" fillId="0" borderId="15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72" fillId="0" borderId="15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horizontal="justify" vertical="top" wrapText="1"/>
    </xf>
    <xf numFmtId="0" fontId="74" fillId="0" borderId="16" xfId="0" applyFont="1" applyFill="1" applyBorder="1" applyAlignment="1">
      <alignment horizontal="justify" vertical="top" wrapText="1"/>
    </xf>
    <xf numFmtId="0" fontId="72" fillId="0" borderId="15" xfId="0" applyFont="1" applyFill="1" applyBorder="1" applyAlignment="1">
      <alignment horizontal="left" wrapText="1"/>
    </xf>
    <xf numFmtId="0" fontId="72" fillId="0" borderId="16" xfId="0" applyFont="1" applyFill="1" applyBorder="1" applyAlignment="1">
      <alignment horizontal="left" wrapText="1"/>
    </xf>
    <xf numFmtId="0" fontId="74" fillId="0" borderId="15" xfId="0" applyFont="1" applyFill="1" applyBorder="1" applyAlignment="1">
      <alignment horizontal="left" vertical="center"/>
    </xf>
    <xf numFmtId="0" fontId="74" fillId="0" borderId="16" xfId="0" applyFont="1" applyFill="1" applyBorder="1" applyAlignment="1">
      <alignment horizontal="left" vertical="center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0"/>
  <sheetViews>
    <sheetView tabSelected="1" view="pageBreakPreview" zoomScaleNormal="70" zoomScaleSheetLayoutView="100" zoomScalePageLayoutView="70" workbookViewId="0" topLeftCell="A1">
      <selection activeCell="H1171" sqref="H1171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29.28125" style="2" customWidth="1"/>
    <col min="6" max="6" width="10.00390625" style="1" hidden="1" customWidth="1"/>
    <col min="7" max="7" width="37.00390625" style="1" hidden="1" customWidth="1"/>
    <col min="8" max="8" width="159.57421875" style="9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08" t="s">
        <v>72</v>
      </c>
      <c r="B1" s="309"/>
      <c r="C1" s="309"/>
      <c r="D1" s="309"/>
      <c r="E1" s="309"/>
    </row>
    <row r="2" spans="1:4" ht="19.5" customHeight="1">
      <c r="A2" s="310" t="s">
        <v>9</v>
      </c>
      <c r="B2" s="311"/>
      <c r="C2" s="311"/>
      <c r="D2" s="4" t="s">
        <v>698</v>
      </c>
    </row>
    <row r="3" spans="1:4" ht="16.5" customHeight="1">
      <c r="A3" s="310" t="s">
        <v>10</v>
      </c>
      <c r="B3" s="311"/>
      <c r="C3" s="311"/>
      <c r="D3" s="4" t="s">
        <v>699</v>
      </c>
    </row>
    <row r="4" spans="1:5" ht="31.5" customHeight="1">
      <c r="A4" s="312" t="s">
        <v>233</v>
      </c>
      <c r="B4" s="313"/>
      <c r="C4" s="313"/>
      <c r="D4" s="313"/>
      <c r="E4" s="313"/>
    </row>
    <row r="5" spans="1:6" ht="19.5" customHeight="1">
      <c r="A5" s="314" t="s">
        <v>0</v>
      </c>
      <c r="B5" s="315"/>
      <c r="C5" s="315"/>
      <c r="D5" s="315"/>
      <c r="E5" s="65" t="s">
        <v>7</v>
      </c>
      <c r="F5" s="121"/>
    </row>
    <row r="6" spans="1:8" ht="17.25" customHeight="1">
      <c r="A6" s="262" t="s">
        <v>74</v>
      </c>
      <c r="B6" s="263"/>
      <c r="C6" s="260" t="s">
        <v>145</v>
      </c>
      <c r="D6" s="260"/>
      <c r="E6" s="46">
        <v>4.044</v>
      </c>
      <c r="H6" s="93" t="str">
        <f>CONCATENATE("Aluminium Conductor Steel Reinforced scrap, Lying at ",C6,". Quantity in MT - ",E6,)</f>
        <v>Aluminium Conductor Steel Reinforced scrap, Lying at Outlet store Shri Muktsar sahib. Quantity in MT - 4.044</v>
      </c>
    </row>
    <row r="7" spans="1:8" ht="17.25" customHeight="1">
      <c r="A7" s="262" t="s">
        <v>114</v>
      </c>
      <c r="B7" s="263"/>
      <c r="C7" s="260" t="s">
        <v>201</v>
      </c>
      <c r="D7" s="260"/>
      <c r="E7" s="46">
        <v>4.993</v>
      </c>
      <c r="H7" s="93" t="str">
        <f aca="true" t="shared" si="0" ref="H7:H25">CONCATENATE("Aluminium Conductor Steel Reinforced scrap, Lying at ",C7,". Quantity in MT - ",E7,)</f>
        <v>Aluminium Conductor Steel Reinforced scrap, Lying at CS Kotkapura  (.237 MT Intermingle). Quantity in MT - 4.993</v>
      </c>
    </row>
    <row r="8" spans="1:8" ht="17.25" customHeight="1">
      <c r="A8" s="262" t="s">
        <v>161</v>
      </c>
      <c r="B8" s="263"/>
      <c r="C8" s="260" t="s">
        <v>655</v>
      </c>
      <c r="D8" s="260"/>
      <c r="E8" s="46">
        <v>8</v>
      </c>
      <c r="H8" s="93" t="str">
        <f t="shared" si="0"/>
        <v>Aluminium Conductor Steel Reinforced scrap, Lying at CS Kotkapura . Quantity in MT - 8</v>
      </c>
    </row>
    <row r="9" spans="1:8" ht="17.25" customHeight="1">
      <c r="A9" s="262" t="s">
        <v>178</v>
      </c>
      <c r="B9" s="263"/>
      <c r="C9" s="260" t="s">
        <v>179</v>
      </c>
      <c r="D9" s="260"/>
      <c r="E9" s="46">
        <v>6.904</v>
      </c>
      <c r="G9" s="121"/>
      <c r="H9" s="93" t="str">
        <f t="shared" si="0"/>
        <v>Aluminium Conductor Steel Reinforced scrap, Lying at Outlet store Malerkotla. Quantity in MT - 6.904</v>
      </c>
    </row>
    <row r="10" spans="1:8" ht="17.25" customHeight="1">
      <c r="A10" s="262" t="s">
        <v>162</v>
      </c>
      <c r="B10" s="263"/>
      <c r="C10" s="260" t="s">
        <v>562</v>
      </c>
      <c r="D10" s="260"/>
      <c r="E10" s="46">
        <v>6.473</v>
      </c>
      <c r="G10" s="99"/>
      <c r="H10" s="93" t="str">
        <f t="shared" si="0"/>
        <v>Aluminium Conductor Steel Reinforced scrap, Lying at Outlet store Nabha (.023 MT Intermingle). Quantity in MT - 6.473</v>
      </c>
    </row>
    <row r="11" spans="1:8" ht="17.25" customHeight="1">
      <c r="A11" s="262" t="s">
        <v>180</v>
      </c>
      <c r="B11" s="263"/>
      <c r="C11" s="260" t="s">
        <v>186</v>
      </c>
      <c r="D11" s="260"/>
      <c r="E11" s="46">
        <v>13.855</v>
      </c>
      <c r="H11" s="93" t="str">
        <f t="shared" si="0"/>
        <v>Aluminium Conductor Steel Reinforced scrap, Lying at Outlet store Mansa. Quantity in MT - 13.855</v>
      </c>
    </row>
    <row r="12" spans="1:8" ht="17.25" customHeight="1">
      <c r="A12" s="262" t="s">
        <v>163</v>
      </c>
      <c r="B12" s="263"/>
      <c r="C12" s="260" t="s">
        <v>288</v>
      </c>
      <c r="D12" s="260"/>
      <c r="E12" s="46">
        <v>9.847</v>
      </c>
      <c r="H12" s="93" t="str">
        <f t="shared" si="0"/>
        <v>Aluminium Conductor Steel Reinforced scrap, Lying at CS Mohali (.314 MT intermingle). Quantity in MT - 9.847</v>
      </c>
    </row>
    <row r="13" spans="1:8" ht="17.25" customHeight="1">
      <c r="A13" s="262" t="s">
        <v>202</v>
      </c>
      <c r="B13" s="263"/>
      <c r="C13" s="260" t="s">
        <v>185</v>
      </c>
      <c r="D13" s="260"/>
      <c r="E13" s="46">
        <v>6.437</v>
      </c>
      <c r="H13" s="93" t="str">
        <f t="shared" si="0"/>
        <v>Aluminium Conductor Steel Reinforced scrap, Lying at Outlet store Ropar. Quantity in MT - 6.437</v>
      </c>
    </row>
    <row r="14" spans="1:8" ht="17.25" customHeight="1">
      <c r="A14" s="262" t="s">
        <v>183</v>
      </c>
      <c r="B14" s="263"/>
      <c r="C14" s="260" t="s">
        <v>262</v>
      </c>
      <c r="D14" s="260"/>
      <c r="E14" s="46">
        <v>1.876</v>
      </c>
      <c r="H14" s="93" t="str">
        <f t="shared" si="0"/>
        <v>Aluminium Conductor Steel Reinforced scrap, Lying at Outlet store Fazilka. Quantity in MT - 1.876</v>
      </c>
    </row>
    <row r="15" spans="1:8" ht="17.25" customHeight="1">
      <c r="A15" s="262" t="s">
        <v>184</v>
      </c>
      <c r="B15" s="263"/>
      <c r="C15" s="260" t="s">
        <v>526</v>
      </c>
      <c r="D15" s="260"/>
      <c r="E15" s="46">
        <v>5.991</v>
      </c>
      <c r="G15" s="121"/>
      <c r="H15" s="93" t="str">
        <f t="shared" si="0"/>
        <v>Aluminium Conductor Steel Reinforced scrap, Lying at CS Bathinda (.134 MT intermingle). Quantity in MT - 5.991</v>
      </c>
    </row>
    <row r="16" spans="1:8" ht="17.25" customHeight="1">
      <c r="A16" s="262" t="s">
        <v>204</v>
      </c>
      <c r="B16" s="263"/>
      <c r="C16" s="279" t="s">
        <v>645</v>
      </c>
      <c r="D16" s="279"/>
      <c r="E16" s="185">
        <v>3.436</v>
      </c>
      <c r="H16" s="93" t="str">
        <f t="shared" si="0"/>
        <v>Aluminium Conductor Steel Reinforced scrap, Lying at Outlet store Bhagta Bhai Ka( .068 MT Intermingle). Quantity in MT - 3.436</v>
      </c>
    </row>
    <row r="17" spans="1:8" ht="17.25" customHeight="1">
      <c r="A17" s="262" t="s">
        <v>267</v>
      </c>
      <c r="B17" s="263"/>
      <c r="C17" s="260" t="s">
        <v>79</v>
      </c>
      <c r="D17" s="260"/>
      <c r="E17" s="46">
        <v>6.326</v>
      </c>
      <c r="H17" s="93" t="str">
        <f t="shared" si="0"/>
        <v>Aluminium Conductor Steel Reinforced scrap, Lying at CS Sangrur. Quantity in MT - 6.326</v>
      </c>
    </row>
    <row r="18" spans="1:8" ht="17.25" customHeight="1">
      <c r="A18" s="262" t="s">
        <v>317</v>
      </c>
      <c r="B18" s="263"/>
      <c r="C18" s="260" t="s">
        <v>181</v>
      </c>
      <c r="D18" s="260"/>
      <c r="E18" s="46">
        <v>3.726</v>
      </c>
      <c r="H18" s="93" t="str">
        <f t="shared" si="0"/>
        <v>Aluminium Conductor Steel Reinforced scrap, Lying at Outlet store Patran. Quantity in MT - 3.726</v>
      </c>
    </row>
    <row r="19" spans="1:8" ht="17.25" customHeight="1">
      <c r="A19" s="262" t="s">
        <v>318</v>
      </c>
      <c r="B19" s="263"/>
      <c r="C19" s="260" t="s">
        <v>182</v>
      </c>
      <c r="D19" s="260"/>
      <c r="E19" s="46">
        <v>5.076</v>
      </c>
      <c r="H19" s="93" t="str">
        <f t="shared" si="0"/>
        <v>Aluminium Conductor Steel Reinforced scrap, Lying at Outlet store Barnala. Quantity in MT - 5.076</v>
      </c>
    </row>
    <row r="20" spans="1:8" ht="17.25" customHeight="1">
      <c r="A20" s="262" t="s">
        <v>320</v>
      </c>
      <c r="B20" s="263"/>
      <c r="C20" s="262" t="s">
        <v>700</v>
      </c>
      <c r="D20" s="264"/>
      <c r="E20" s="46">
        <v>11.367</v>
      </c>
      <c r="H20" s="93" t="str">
        <f t="shared" si="0"/>
        <v>Aluminium Conductor Steel Reinforced scrap, Lying at S &amp; T Store Bathinda (1.367 MT Intermingle). Quantity in MT - 11.367</v>
      </c>
    </row>
    <row r="21" spans="1:8" ht="17.25" customHeight="1">
      <c r="A21" s="262" t="s">
        <v>321</v>
      </c>
      <c r="B21" s="263"/>
      <c r="C21" s="262" t="s">
        <v>57</v>
      </c>
      <c r="D21" s="264"/>
      <c r="E21" s="46">
        <v>10</v>
      </c>
      <c r="H21" s="93" t="str">
        <f t="shared" si="0"/>
        <v>Aluminium Conductor Steel Reinforced scrap, Lying at S &amp; T Store Bathinda. Quantity in MT - 10</v>
      </c>
    </row>
    <row r="22" spans="1:8" ht="17.25" customHeight="1">
      <c r="A22" s="262" t="s">
        <v>322</v>
      </c>
      <c r="B22" s="263"/>
      <c r="C22" s="260" t="s">
        <v>95</v>
      </c>
      <c r="D22" s="262"/>
      <c r="E22" s="46">
        <v>7.153</v>
      </c>
      <c r="H22" s="93" t="str">
        <f t="shared" si="0"/>
        <v>Aluminium Conductor Steel Reinforced scrap, Lying at CS Malout. Quantity in MT - 7.153</v>
      </c>
    </row>
    <row r="23" spans="1:8" ht="17.25" customHeight="1">
      <c r="A23" s="262" t="s">
        <v>457</v>
      </c>
      <c r="B23" s="263"/>
      <c r="C23" s="279" t="s">
        <v>266</v>
      </c>
      <c r="D23" s="279"/>
      <c r="E23" s="185">
        <v>5.611</v>
      </c>
      <c r="F23" s="121"/>
      <c r="H23" s="93" t="str">
        <f t="shared" si="0"/>
        <v>Aluminium Conductor Steel Reinforced scrap, Lying at Outlet store Moga. Quantity in MT - 5.611</v>
      </c>
    </row>
    <row r="24" spans="1:8" ht="17.25" customHeight="1">
      <c r="A24" s="262" t="s">
        <v>563</v>
      </c>
      <c r="B24" s="263"/>
      <c r="C24" s="260" t="s">
        <v>456</v>
      </c>
      <c r="D24" s="260"/>
      <c r="E24" s="46">
        <v>1.966</v>
      </c>
      <c r="F24" s="121"/>
      <c r="H24" s="93" t="str">
        <f t="shared" si="0"/>
        <v>Aluminium Conductor Steel Reinforced scrap, Lying at CS Ferozepur (.015 MT Intermingle). Quantity in MT - 1.966</v>
      </c>
    </row>
    <row r="25" spans="1:8" ht="17.25" customHeight="1" thickBot="1">
      <c r="A25" s="262" t="s">
        <v>632</v>
      </c>
      <c r="B25" s="263"/>
      <c r="C25" s="260" t="s">
        <v>231</v>
      </c>
      <c r="D25" s="260"/>
      <c r="E25" s="185">
        <v>0.68</v>
      </c>
      <c r="F25" s="121"/>
      <c r="H25" s="93" t="str">
        <f t="shared" si="0"/>
        <v>Aluminium Conductor Steel Reinforced scrap, Lying at Outlet store Rajpura. Quantity in MT - 0.68</v>
      </c>
    </row>
    <row r="26" spans="1:5" ht="17.25" customHeight="1" thickBot="1">
      <c r="A26" s="302" t="s">
        <v>113</v>
      </c>
      <c r="B26" s="303"/>
      <c r="C26" s="296"/>
      <c r="D26" s="296"/>
      <c r="E26" s="154">
        <f>SUM(E6:E25)</f>
        <v>123.761</v>
      </c>
    </row>
    <row r="27" spans="1:5" ht="17.25" customHeight="1">
      <c r="A27" s="144"/>
      <c r="B27" s="144"/>
      <c r="C27" s="142"/>
      <c r="D27" s="142"/>
      <c r="E27" s="145"/>
    </row>
    <row r="28" spans="1:5" ht="17.25" customHeight="1">
      <c r="A28" s="304" t="s">
        <v>376</v>
      </c>
      <c r="B28" s="305"/>
      <c r="C28" s="305"/>
      <c r="D28" s="305"/>
      <c r="E28" s="65" t="s">
        <v>7</v>
      </c>
    </row>
    <row r="29" spans="1:8" ht="17.25" customHeight="1">
      <c r="A29" s="260" t="s">
        <v>377</v>
      </c>
      <c r="B29" s="260"/>
      <c r="C29" s="260" t="s">
        <v>266</v>
      </c>
      <c r="D29" s="260"/>
      <c r="E29" s="73">
        <v>0.431</v>
      </c>
      <c r="H29" s="93" t="str">
        <f>CONCATENATE("LT ABC Cable scrap without insulation, Lying at ",C29,". Quantity in MT - ",E29,)</f>
        <v>LT ABC Cable scrap without insulation, Lying at Outlet store Moga. Quantity in MT - 0.431</v>
      </c>
    </row>
    <row r="30" spans="1:8" ht="17.25" customHeight="1" thickBot="1">
      <c r="A30" s="275" t="s">
        <v>428</v>
      </c>
      <c r="B30" s="276"/>
      <c r="C30" s="262" t="s">
        <v>231</v>
      </c>
      <c r="D30" s="263"/>
      <c r="E30" s="241">
        <v>1.088</v>
      </c>
      <c r="H30" s="93" t="str">
        <f>CONCATENATE("LT ABC Cable scrap without insulation, Lying at ",C30,". Quantity in MT - ",E30,)</f>
        <v>LT ABC Cable scrap without insulation, Lying at Outlet store Rajpura. Quantity in MT - 1.088</v>
      </c>
    </row>
    <row r="31" spans="1:5" ht="17.25" customHeight="1" thickBot="1">
      <c r="A31" s="297" t="s">
        <v>113</v>
      </c>
      <c r="B31" s="298"/>
      <c r="C31" s="299"/>
      <c r="D31" s="299"/>
      <c r="E31" s="154">
        <f>E29+E30</f>
        <v>1.5190000000000001</v>
      </c>
    </row>
    <row r="32" spans="1:5" ht="17.25" customHeight="1">
      <c r="A32" s="122"/>
      <c r="B32" s="122"/>
      <c r="C32" s="123"/>
      <c r="D32" s="294"/>
      <c r="E32" s="295"/>
    </row>
    <row r="33" spans="1:5" ht="17.25" customHeight="1">
      <c r="A33" s="314" t="s">
        <v>12</v>
      </c>
      <c r="B33" s="315"/>
      <c r="C33" s="315"/>
      <c r="D33" s="315"/>
      <c r="E33" s="65" t="s">
        <v>7</v>
      </c>
    </row>
    <row r="34" spans="1:8" ht="17.25" customHeight="1">
      <c r="A34" s="262" t="s">
        <v>73</v>
      </c>
      <c r="B34" s="263"/>
      <c r="C34" s="260" t="s">
        <v>28</v>
      </c>
      <c r="D34" s="260"/>
      <c r="E34" s="73">
        <v>8.316</v>
      </c>
      <c r="H34" s="93" t="str">
        <f aca="true" t="shared" si="1" ref="H34:H56">CONCATENATE("Damaged Distribution Transformer's HT/LT Aluminium coils scrap with insulation, Lying at ",C34,". Quantity in MT - ",E34,)</f>
        <v>Damaged Distribution Transformer's HT/LT Aluminium coils scrap with insulation, Lying at TRY Malerkotla. Quantity in MT - 8.316</v>
      </c>
    </row>
    <row r="35" spans="1:8" ht="17.25" customHeight="1">
      <c r="A35" s="262" t="s">
        <v>122</v>
      </c>
      <c r="B35" s="263"/>
      <c r="C35" s="260" t="s">
        <v>136</v>
      </c>
      <c r="D35" s="260"/>
      <c r="E35" s="73">
        <v>4.066</v>
      </c>
      <c r="H35" s="93" t="str">
        <f t="shared" si="1"/>
        <v>Damaged Distribution Transformer's HT/LT Aluminium coils scrap with insulation, Lying at TRY Patran. Quantity in MT - 4.066</v>
      </c>
    </row>
    <row r="36" spans="1:8" ht="17.25" customHeight="1">
      <c r="A36" s="262" t="s">
        <v>123</v>
      </c>
      <c r="B36" s="263"/>
      <c r="C36" s="260" t="s">
        <v>136</v>
      </c>
      <c r="D36" s="260"/>
      <c r="E36" s="73">
        <v>10</v>
      </c>
      <c r="H36" s="93" t="str">
        <f t="shared" si="1"/>
        <v>Damaged Distribution Transformer's HT/LT Aluminium coils scrap with insulation, Lying at TRY Patran. Quantity in MT - 10</v>
      </c>
    </row>
    <row r="37" spans="1:8" ht="17.25" customHeight="1">
      <c r="A37" s="262" t="s">
        <v>205</v>
      </c>
      <c r="B37" s="263"/>
      <c r="C37" s="260" t="s">
        <v>247</v>
      </c>
      <c r="D37" s="260"/>
      <c r="E37" s="73">
        <v>12.08</v>
      </c>
      <c r="H37" s="93" t="str">
        <f t="shared" si="1"/>
        <v>Damaged Distribution Transformer's HT/LT Aluminium coils scrap with insulation, Lying at TRY Kotkapura. Quantity in MT - 12.08</v>
      </c>
    </row>
    <row r="38" spans="1:8" ht="17.25" customHeight="1">
      <c r="A38" s="262" t="s">
        <v>158</v>
      </c>
      <c r="B38" s="263"/>
      <c r="C38" s="260" t="s">
        <v>247</v>
      </c>
      <c r="D38" s="260"/>
      <c r="E38" s="73">
        <v>10</v>
      </c>
      <c r="H38" s="93" t="str">
        <f t="shared" si="1"/>
        <v>Damaged Distribution Transformer's HT/LT Aluminium coils scrap with insulation, Lying at TRY Kotkapura. Quantity in MT - 10</v>
      </c>
    </row>
    <row r="39" spans="1:8" ht="17.25" customHeight="1">
      <c r="A39" s="262" t="s">
        <v>187</v>
      </c>
      <c r="B39" s="263"/>
      <c r="C39" s="260" t="s">
        <v>247</v>
      </c>
      <c r="D39" s="260"/>
      <c r="E39" s="73">
        <v>10</v>
      </c>
      <c r="H39" s="93" t="str">
        <f t="shared" si="1"/>
        <v>Damaged Distribution Transformer's HT/LT Aluminium coils scrap with insulation, Lying at TRY Kotkapura. Quantity in MT - 10</v>
      </c>
    </row>
    <row r="40" spans="1:8" ht="17.25" customHeight="1">
      <c r="A40" s="262" t="s">
        <v>248</v>
      </c>
      <c r="B40" s="263"/>
      <c r="C40" s="260" t="s">
        <v>247</v>
      </c>
      <c r="D40" s="260"/>
      <c r="E40" s="73">
        <v>10</v>
      </c>
      <c r="H40" s="93" t="str">
        <f t="shared" si="1"/>
        <v>Damaged Distribution Transformer's HT/LT Aluminium coils scrap with insulation, Lying at TRY Kotkapura. Quantity in MT - 10</v>
      </c>
    </row>
    <row r="41" spans="1:8" ht="17.25" customHeight="1">
      <c r="A41" s="262" t="s">
        <v>165</v>
      </c>
      <c r="B41" s="263"/>
      <c r="C41" s="260" t="s">
        <v>164</v>
      </c>
      <c r="D41" s="260"/>
      <c r="E41" s="73">
        <v>15</v>
      </c>
      <c r="F41" s="121"/>
      <c r="H41" s="93" t="str">
        <f t="shared" si="1"/>
        <v>Damaged Distribution Transformer's HT/LT Aluminium coils scrap with insulation, Lying at TRY Malout. Quantity in MT - 15</v>
      </c>
    </row>
    <row r="42" spans="1:8" ht="17.25" customHeight="1">
      <c r="A42" s="262" t="s">
        <v>250</v>
      </c>
      <c r="B42" s="263"/>
      <c r="C42" s="260" t="s">
        <v>164</v>
      </c>
      <c r="D42" s="260"/>
      <c r="E42" s="73">
        <v>14.154</v>
      </c>
      <c r="F42" s="121"/>
      <c r="G42" s="121"/>
      <c r="H42" s="93" t="str">
        <f t="shared" si="1"/>
        <v>Damaged Distribution Transformer's HT/LT Aluminium coils scrap with insulation, Lying at TRY Malout. Quantity in MT - 14.154</v>
      </c>
    </row>
    <row r="43" spans="1:8" ht="17.25" customHeight="1">
      <c r="A43" s="262" t="s">
        <v>263</v>
      </c>
      <c r="B43" s="263"/>
      <c r="C43" s="260" t="s">
        <v>166</v>
      </c>
      <c r="D43" s="260"/>
      <c r="E43" s="73">
        <v>16</v>
      </c>
      <c r="H43" s="93" t="str">
        <f t="shared" si="1"/>
        <v>Damaged Distribution Transformer's HT/LT Aluminium coils scrap with insulation, Lying at TRY Mansa. Quantity in MT - 16</v>
      </c>
    </row>
    <row r="44" spans="1:8" ht="17.25" customHeight="1">
      <c r="A44" s="262" t="s">
        <v>489</v>
      </c>
      <c r="B44" s="263"/>
      <c r="C44" s="260" t="s">
        <v>166</v>
      </c>
      <c r="D44" s="260"/>
      <c r="E44" s="73">
        <v>16.423</v>
      </c>
      <c r="F44" s="121"/>
      <c r="G44" s="1">
        <v>7.783000000000001</v>
      </c>
      <c r="H44" s="93" t="str">
        <f t="shared" si="1"/>
        <v>Damaged Distribution Transformer's HT/LT Aluminium coils scrap with insulation, Lying at TRY Mansa. Quantity in MT - 16.423</v>
      </c>
    </row>
    <row r="45" spans="1:8" ht="17.25" customHeight="1">
      <c r="A45" s="262" t="s">
        <v>535</v>
      </c>
      <c r="B45" s="263"/>
      <c r="C45" s="260" t="s">
        <v>166</v>
      </c>
      <c r="D45" s="260"/>
      <c r="E45" s="73">
        <v>10</v>
      </c>
      <c r="H45" s="93" t="str">
        <f t="shared" si="1"/>
        <v>Damaged Distribution Transformer's HT/LT Aluminium coils scrap with insulation, Lying at TRY Mansa. Quantity in MT - 10</v>
      </c>
    </row>
    <row r="46" spans="1:8" ht="17.25" customHeight="1">
      <c r="A46" s="262" t="s">
        <v>536</v>
      </c>
      <c r="B46" s="263"/>
      <c r="C46" s="260" t="s">
        <v>166</v>
      </c>
      <c r="D46" s="260"/>
      <c r="E46" s="73">
        <v>10</v>
      </c>
      <c r="H46" s="93" t="str">
        <f t="shared" si="1"/>
        <v>Damaged Distribution Transformer's HT/LT Aluminium coils scrap with insulation, Lying at TRY Mansa. Quantity in MT - 10</v>
      </c>
    </row>
    <row r="47" spans="1:8" ht="17.25" customHeight="1">
      <c r="A47" s="262" t="s">
        <v>624</v>
      </c>
      <c r="B47" s="263"/>
      <c r="C47" s="260" t="s">
        <v>222</v>
      </c>
      <c r="D47" s="260"/>
      <c r="E47" s="73">
        <v>18.36</v>
      </c>
      <c r="H47" s="93" t="str">
        <f t="shared" si="1"/>
        <v>Damaged Distribution Transformer's HT/LT Aluminium coils scrap with insulation, Lying at TRY Moga. Quantity in MT - 18.36</v>
      </c>
    </row>
    <row r="48" spans="1:8" ht="17.25" customHeight="1">
      <c r="A48" s="262" t="s">
        <v>633</v>
      </c>
      <c r="B48" s="263"/>
      <c r="C48" s="260" t="s">
        <v>222</v>
      </c>
      <c r="D48" s="260"/>
      <c r="E48" s="73">
        <v>10</v>
      </c>
      <c r="H48" s="93" t="str">
        <f t="shared" si="1"/>
        <v>Damaged Distribution Transformer's HT/LT Aluminium coils scrap with insulation, Lying at TRY Moga. Quantity in MT - 10</v>
      </c>
    </row>
    <row r="49" spans="1:8" ht="17.25" customHeight="1">
      <c r="A49" s="262" t="s">
        <v>634</v>
      </c>
      <c r="B49" s="263"/>
      <c r="C49" s="260" t="s">
        <v>143</v>
      </c>
      <c r="D49" s="260"/>
      <c r="E49" s="73">
        <v>3.66</v>
      </c>
      <c r="H49" s="93" t="str">
        <f t="shared" si="1"/>
        <v>Damaged Distribution Transformer's HT/LT Aluminium coils scrap with insulation, Lying at TRY Ropar. Quantity in MT - 3.66</v>
      </c>
    </row>
    <row r="50" spans="1:8" ht="17.25" customHeight="1">
      <c r="A50" s="262" t="s">
        <v>635</v>
      </c>
      <c r="B50" s="263"/>
      <c r="C50" s="260" t="s">
        <v>36</v>
      </c>
      <c r="D50" s="260"/>
      <c r="E50" s="73">
        <v>6.98</v>
      </c>
      <c r="H50" s="93" t="str">
        <f t="shared" si="1"/>
        <v>Damaged Distribution Transformer's HT/LT Aluminium coils scrap with insulation, Lying at TRY Bathinda. Quantity in MT - 6.98</v>
      </c>
    </row>
    <row r="51" spans="1:8" ht="17.25" customHeight="1">
      <c r="A51" s="262" t="s">
        <v>637</v>
      </c>
      <c r="B51" s="263"/>
      <c r="C51" s="260" t="s">
        <v>120</v>
      </c>
      <c r="D51" s="260"/>
      <c r="E51" s="73">
        <v>6.677</v>
      </c>
      <c r="H51" s="93" t="str">
        <f t="shared" si="1"/>
        <v>Damaged Distribution Transformer's HT/LT Aluminium coils scrap with insulation, Lying at TRY Patiala. Quantity in MT - 6.677</v>
      </c>
    </row>
    <row r="52" spans="1:8" ht="17.25" customHeight="1">
      <c r="A52" s="262" t="s">
        <v>651</v>
      </c>
      <c r="B52" s="263"/>
      <c r="C52" s="264" t="s">
        <v>135</v>
      </c>
      <c r="D52" s="264"/>
      <c r="E52" s="73">
        <v>14.7</v>
      </c>
      <c r="F52" s="121"/>
      <c r="H52" s="93" t="str">
        <f t="shared" si="1"/>
        <v>Damaged Distribution Transformer's HT/LT Aluminium coils scrap with insulation, Lying at TRY Sangrur. Quantity in MT - 14.7</v>
      </c>
    </row>
    <row r="53" spans="1:8" ht="17.25" customHeight="1">
      <c r="A53" s="262" t="s">
        <v>652</v>
      </c>
      <c r="B53" s="263"/>
      <c r="C53" s="264" t="s">
        <v>135</v>
      </c>
      <c r="D53" s="264"/>
      <c r="E53" s="73">
        <v>10</v>
      </c>
      <c r="H53" s="93" t="str">
        <f t="shared" si="1"/>
        <v>Damaged Distribution Transformer's HT/LT Aluminium coils scrap with insulation, Lying at TRY Sangrur. Quantity in MT - 10</v>
      </c>
    </row>
    <row r="54" spans="1:8" ht="17.25" customHeight="1">
      <c r="A54" s="262" t="s">
        <v>653</v>
      </c>
      <c r="B54" s="263"/>
      <c r="C54" s="264" t="s">
        <v>132</v>
      </c>
      <c r="D54" s="264"/>
      <c r="E54" s="73">
        <v>7.16</v>
      </c>
      <c r="H54" s="93" t="str">
        <f t="shared" si="1"/>
        <v>Damaged Distribution Transformer's HT/LT Aluminium coils scrap with insulation, Lying at TRY Bhagta Bhai Ka. Quantity in MT - 7.16</v>
      </c>
    </row>
    <row r="55" spans="1:8" ht="17.25" customHeight="1">
      <c r="A55" s="262" t="s">
        <v>654</v>
      </c>
      <c r="B55" s="263"/>
      <c r="C55" s="264" t="s">
        <v>132</v>
      </c>
      <c r="D55" s="264"/>
      <c r="E55" s="73">
        <v>10</v>
      </c>
      <c r="H55" s="93" t="str">
        <f t="shared" si="1"/>
        <v>Damaged Distribution Transformer's HT/LT Aluminium coils scrap with insulation, Lying at TRY Bhagta Bhai Ka. Quantity in MT - 10</v>
      </c>
    </row>
    <row r="56" spans="1:8" ht="17.25" customHeight="1" thickBot="1">
      <c r="A56" s="262" t="s">
        <v>666</v>
      </c>
      <c r="B56" s="263"/>
      <c r="C56" s="260" t="s">
        <v>42</v>
      </c>
      <c r="D56" s="260"/>
      <c r="E56" s="73">
        <v>4.435</v>
      </c>
      <c r="H56" s="93" t="str">
        <f t="shared" si="1"/>
        <v>Damaged Distribution Transformer's HT/LT Aluminium coils scrap with insulation, Lying at TRY Ferozepur. Quantity in MT - 4.435</v>
      </c>
    </row>
    <row r="57" spans="1:5" ht="17.25" customHeight="1" thickBot="1">
      <c r="A57" s="297" t="s">
        <v>113</v>
      </c>
      <c r="B57" s="298"/>
      <c r="C57" s="292"/>
      <c r="D57" s="293"/>
      <c r="E57" s="124">
        <f>SUM(E34:E56)</f>
        <v>238.01099999999997</v>
      </c>
    </row>
    <row r="58" spans="1:8" ht="17.25" customHeight="1">
      <c r="A58" s="306"/>
      <c r="B58" s="306"/>
      <c r="C58" s="306"/>
      <c r="D58" s="306"/>
      <c r="E58" s="307"/>
      <c r="H58" s="111"/>
    </row>
    <row r="59" spans="1:5" ht="17.25" customHeight="1">
      <c r="A59" s="290" t="s">
        <v>107</v>
      </c>
      <c r="B59" s="290"/>
      <c r="C59" s="290"/>
      <c r="D59" s="290"/>
      <c r="E59" s="291"/>
    </row>
    <row r="60" spans="1:5" ht="17.25" customHeight="1">
      <c r="A60" s="300" t="s">
        <v>693</v>
      </c>
      <c r="B60" s="301"/>
      <c r="C60" s="301"/>
      <c r="D60" s="301"/>
      <c r="E60" s="301"/>
    </row>
    <row r="61" spans="1:5" ht="17.25" customHeight="1">
      <c r="A61" s="89"/>
      <c r="B61" s="90"/>
      <c r="C61" s="90"/>
      <c r="D61" s="90"/>
      <c r="E61" s="90"/>
    </row>
    <row r="62" spans="1:6" ht="29.25" customHeight="1">
      <c r="A62" s="262" t="s">
        <v>242</v>
      </c>
      <c r="B62" s="264"/>
      <c r="C62" s="264"/>
      <c r="D62" s="264"/>
      <c r="E62" s="263"/>
      <c r="F62" s="1">
        <f>B77+B91+B103+B117+B132+B145+B153+B167+B180+B200+B213+B227+B247+B269+B282+B296+B309+B328+B348+B372+B394+B407+B421+B441+B455+B472+B485+B501+B515+B538+B556+B570+B588+B606</f>
        <v>2884</v>
      </c>
    </row>
    <row r="63" spans="1:5" ht="24.75" customHeight="1">
      <c r="A63" s="40" t="s">
        <v>212</v>
      </c>
      <c r="B63" s="40" t="s">
        <v>213</v>
      </c>
      <c r="C63" s="40" t="s">
        <v>214</v>
      </c>
      <c r="D63" s="40" t="s">
        <v>215</v>
      </c>
      <c r="E63" s="39" t="s">
        <v>216</v>
      </c>
    </row>
    <row r="64" spans="1:6" ht="17.25" customHeight="1">
      <c r="A64" s="269" t="s">
        <v>217</v>
      </c>
      <c r="B64" s="270"/>
      <c r="C64" s="271"/>
      <c r="D64" s="207"/>
      <c r="E64" s="210"/>
      <c r="F64" s="1">
        <f>B65+B66+B67+B68+B69+B71+B72+B73+B74+B75</f>
        <v>249</v>
      </c>
    </row>
    <row r="65" spans="1:5" ht="17.25" customHeight="1">
      <c r="A65" s="112">
        <v>90</v>
      </c>
      <c r="B65" s="113">
        <v>27</v>
      </c>
      <c r="C65" s="113" t="s">
        <v>218</v>
      </c>
      <c r="D65" s="112" t="s">
        <v>219</v>
      </c>
      <c r="E65" s="113">
        <v>1301</v>
      </c>
    </row>
    <row r="66" spans="1:5" ht="17.25" customHeight="1">
      <c r="A66" s="112">
        <v>91</v>
      </c>
      <c r="B66" s="113">
        <v>25</v>
      </c>
      <c r="C66" s="113" t="s">
        <v>218</v>
      </c>
      <c r="D66" s="112" t="s">
        <v>220</v>
      </c>
      <c r="E66" s="113">
        <v>1214</v>
      </c>
    </row>
    <row r="67" spans="1:5" ht="17.25" customHeight="1">
      <c r="A67" s="112">
        <v>92</v>
      </c>
      <c r="B67" s="113">
        <v>14</v>
      </c>
      <c r="C67" s="113" t="s">
        <v>218</v>
      </c>
      <c r="D67" s="112" t="s">
        <v>221</v>
      </c>
      <c r="E67" s="113">
        <v>678</v>
      </c>
    </row>
    <row r="68" spans="1:5" ht="17.25" customHeight="1">
      <c r="A68" s="112">
        <v>93</v>
      </c>
      <c r="B68" s="113">
        <v>25</v>
      </c>
      <c r="C68" s="113" t="s">
        <v>218</v>
      </c>
      <c r="D68" s="112" t="s">
        <v>226</v>
      </c>
      <c r="E68" s="113">
        <v>1201</v>
      </c>
    </row>
    <row r="69" spans="1:5" ht="17.25" customHeight="1">
      <c r="A69" s="112">
        <v>94</v>
      </c>
      <c r="B69" s="113">
        <v>18</v>
      </c>
      <c r="C69" s="113" t="s">
        <v>218</v>
      </c>
      <c r="D69" s="112" t="s">
        <v>227</v>
      </c>
      <c r="E69" s="113">
        <v>835</v>
      </c>
    </row>
    <row r="70" spans="1:5" ht="72.75" customHeight="1">
      <c r="A70" s="112">
        <v>95</v>
      </c>
      <c r="B70" s="113">
        <v>20</v>
      </c>
      <c r="C70" s="125" t="s">
        <v>241</v>
      </c>
      <c r="D70" s="118" t="s">
        <v>257</v>
      </c>
      <c r="E70" s="117">
        <v>4276</v>
      </c>
    </row>
    <row r="71" spans="1:5" ht="17.25" customHeight="1">
      <c r="A71" s="112">
        <v>96</v>
      </c>
      <c r="B71" s="113">
        <v>27</v>
      </c>
      <c r="C71" s="114" t="s">
        <v>218</v>
      </c>
      <c r="D71" s="112" t="s">
        <v>258</v>
      </c>
      <c r="E71" s="117">
        <v>1303</v>
      </c>
    </row>
    <row r="72" spans="1:5" ht="17.25" customHeight="1">
      <c r="A72" s="112">
        <v>97</v>
      </c>
      <c r="B72" s="113">
        <v>26</v>
      </c>
      <c r="C72" s="114" t="s">
        <v>218</v>
      </c>
      <c r="D72" s="112" t="s">
        <v>259</v>
      </c>
      <c r="E72" s="117">
        <v>1209</v>
      </c>
    </row>
    <row r="73" spans="1:5" ht="17.25" customHeight="1">
      <c r="A73" s="112">
        <v>98</v>
      </c>
      <c r="B73" s="113">
        <v>27</v>
      </c>
      <c r="C73" s="114" t="s">
        <v>225</v>
      </c>
      <c r="D73" s="118" t="s">
        <v>258</v>
      </c>
      <c r="E73" s="113">
        <v>1286</v>
      </c>
    </row>
    <row r="74" spans="1:5" ht="17.25" customHeight="1">
      <c r="A74" s="112">
        <v>99</v>
      </c>
      <c r="B74" s="113">
        <v>30</v>
      </c>
      <c r="C74" s="114" t="s">
        <v>225</v>
      </c>
      <c r="D74" s="118" t="s">
        <v>260</v>
      </c>
      <c r="E74" s="113">
        <v>1365</v>
      </c>
    </row>
    <row r="75" spans="1:5" ht="17.25" customHeight="1">
      <c r="A75" s="112">
        <v>100</v>
      </c>
      <c r="B75" s="113">
        <v>30</v>
      </c>
      <c r="C75" s="114" t="s">
        <v>225</v>
      </c>
      <c r="D75" s="118" t="s">
        <v>260</v>
      </c>
      <c r="E75" s="113">
        <v>1374</v>
      </c>
    </row>
    <row r="76" spans="1:5" ht="17.25" customHeight="1">
      <c r="A76" s="209"/>
      <c r="B76" s="126">
        <f>SUM(B65:B75)</f>
        <v>269</v>
      </c>
      <c r="C76" s="126"/>
      <c r="D76" s="126"/>
      <c r="E76" s="126">
        <f>SUM(E65:E75)</f>
        <v>16042</v>
      </c>
    </row>
    <row r="77" spans="1:5" ht="17.25" customHeight="1">
      <c r="A77" s="207" t="s">
        <v>14</v>
      </c>
      <c r="B77" s="126">
        <f>B76</f>
        <v>269</v>
      </c>
      <c r="C77" s="126"/>
      <c r="D77" s="126"/>
      <c r="E77" s="126">
        <f>E76</f>
        <v>16042</v>
      </c>
    </row>
    <row r="78" spans="1:5" ht="17.25" customHeight="1">
      <c r="A78" s="210"/>
      <c r="B78" s="127"/>
      <c r="C78" s="127"/>
      <c r="D78" s="127"/>
      <c r="E78" s="127"/>
    </row>
    <row r="79" spans="1:5" ht="27.75" customHeight="1">
      <c r="A79" s="262" t="s">
        <v>294</v>
      </c>
      <c r="B79" s="264"/>
      <c r="C79" s="264"/>
      <c r="D79" s="264"/>
      <c r="E79" s="264"/>
    </row>
    <row r="80" spans="1:5" ht="24.75" customHeight="1">
      <c r="A80" s="40" t="s">
        <v>212</v>
      </c>
      <c r="B80" s="40" t="s">
        <v>213</v>
      </c>
      <c r="C80" s="40" t="s">
        <v>214</v>
      </c>
      <c r="D80" s="40" t="s">
        <v>215</v>
      </c>
      <c r="E80" s="39" t="s">
        <v>216</v>
      </c>
    </row>
    <row r="81" spans="1:5" ht="17.25" customHeight="1">
      <c r="A81" s="269" t="s">
        <v>223</v>
      </c>
      <c r="B81" s="270"/>
      <c r="C81" s="271"/>
      <c r="D81" s="40"/>
      <c r="E81" s="39"/>
    </row>
    <row r="82" spans="1:5" ht="17.25" customHeight="1">
      <c r="A82" s="110" t="s">
        <v>280</v>
      </c>
      <c r="B82" s="105">
        <v>7</v>
      </c>
      <c r="C82" s="105" t="s">
        <v>228</v>
      </c>
      <c r="D82" s="105" t="s">
        <v>281</v>
      </c>
      <c r="E82" s="105">
        <v>780</v>
      </c>
    </row>
    <row r="83" spans="1:5" ht="17.25" customHeight="1">
      <c r="A83" s="209"/>
      <c r="B83" s="88">
        <f>SUM(B82:B82)</f>
        <v>7</v>
      </c>
      <c r="C83" s="88"/>
      <c r="D83" s="88"/>
      <c r="E83" s="88">
        <f>SUM(E82:E82)</f>
        <v>780</v>
      </c>
    </row>
    <row r="84" spans="1:5" ht="17.25" customHeight="1">
      <c r="A84" s="269" t="s">
        <v>217</v>
      </c>
      <c r="B84" s="270"/>
      <c r="C84" s="271"/>
      <c r="D84" s="34"/>
      <c r="E84" s="34"/>
    </row>
    <row r="85" spans="1:5" ht="17.25" customHeight="1">
      <c r="A85" s="110" t="s">
        <v>282</v>
      </c>
      <c r="B85" s="105">
        <v>4</v>
      </c>
      <c r="C85" s="109" t="s">
        <v>232</v>
      </c>
      <c r="D85" s="105" t="s">
        <v>283</v>
      </c>
      <c r="E85" s="105">
        <v>466</v>
      </c>
    </row>
    <row r="86" spans="1:5" ht="17.25" customHeight="1">
      <c r="A86" s="110" t="s">
        <v>282</v>
      </c>
      <c r="B86" s="105">
        <v>1</v>
      </c>
      <c r="C86" s="109" t="s">
        <v>241</v>
      </c>
      <c r="D86" s="105" t="s">
        <v>261</v>
      </c>
      <c r="E86" s="105">
        <v>220</v>
      </c>
    </row>
    <row r="87" spans="1:5" ht="17.25" customHeight="1">
      <c r="A87" s="110" t="s">
        <v>282</v>
      </c>
      <c r="B87" s="105">
        <v>1</v>
      </c>
      <c r="C87" s="109" t="s">
        <v>244</v>
      </c>
      <c r="D87" s="105" t="s">
        <v>284</v>
      </c>
      <c r="E87" s="105">
        <v>295</v>
      </c>
    </row>
    <row r="88" spans="1:5" ht="17.25" customHeight="1">
      <c r="A88" s="110" t="s">
        <v>285</v>
      </c>
      <c r="B88" s="105">
        <v>1</v>
      </c>
      <c r="C88" s="105" t="s">
        <v>228</v>
      </c>
      <c r="D88" s="40" t="s">
        <v>245</v>
      </c>
      <c r="E88" s="105">
        <v>87</v>
      </c>
    </row>
    <row r="89" spans="1:5" ht="17.25" customHeight="1">
      <c r="A89" s="110" t="s">
        <v>286</v>
      </c>
      <c r="B89" s="105">
        <v>1</v>
      </c>
      <c r="C89" s="109" t="s">
        <v>232</v>
      </c>
      <c r="D89" s="40" t="s">
        <v>245</v>
      </c>
      <c r="E89" s="105">
        <v>115</v>
      </c>
    </row>
    <row r="90" spans="1:5" ht="17.25" customHeight="1">
      <c r="A90" s="40"/>
      <c r="B90" s="207">
        <f>SUM(B85:B89)</f>
        <v>8</v>
      </c>
      <c r="C90" s="207"/>
      <c r="D90" s="207"/>
      <c r="E90" s="207">
        <f>SUM(E85:E89)</f>
        <v>1183</v>
      </c>
    </row>
    <row r="91" spans="1:5" ht="17.25" customHeight="1">
      <c r="A91" s="207" t="s">
        <v>14</v>
      </c>
      <c r="B91" s="126">
        <f>B83+B90</f>
        <v>15</v>
      </c>
      <c r="C91" s="126"/>
      <c r="D91" s="126"/>
      <c r="E91" s="126">
        <f>E83+E90</f>
        <v>1963</v>
      </c>
    </row>
    <row r="92" spans="1:5" ht="17.25" customHeight="1">
      <c r="A92" s="210"/>
      <c r="B92" s="127"/>
      <c r="C92" s="128"/>
      <c r="D92" s="126"/>
      <c r="E92" s="126"/>
    </row>
    <row r="93" spans="1:5" ht="33.75" customHeight="1">
      <c r="A93" s="262" t="s">
        <v>412</v>
      </c>
      <c r="B93" s="264"/>
      <c r="C93" s="264"/>
      <c r="D93" s="264"/>
      <c r="E93" s="264"/>
    </row>
    <row r="94" spans="1:5" ht="23.25" customHeight="1">
      <c r="A94" s="40">
        <v>44</v>
      </c>
      <c r="B94" s="40" t="s">
        <v>213</v>
      </c>
      <c r="C94" s="40" t="s">
        <v>214</v>
      </c>
      <c r="D94" s="40" t="s">
        <v>215</v>
      </c>
      <c r="E94" s="39" t="s">
        <v>216</v>
      </c>
    </row>
    <row r="95" spans="1:5" ht="17.25" customHeight="1">
      <c r="A95" s="269" t="s">
        <v>223</v>
      </c>
      <c r="B95" s="270"/>
      <c r="C95" s="271"/>
      <c r="D95" s="40"/>
      <c r="E95" s="39"/>
    </row>
    <row r="96" spans="1:5" ht="17.25" customHeight="1">
      <c r="A96" s="45">
        <v>756</v>
      </c>
      <c r="B96" s="45">
        <v>3</v>
      </c>
      <c r="C96" s="45" t="s">
        <v>225</v>
      </c>
      <c r="D96" s="45" t="s">
        <v>289</v>
      </c>
      <c r="E96" s="45">
        <v>226</v>
      </c>
    </row>
    <row r="97" spans="1:5" ht="17.25" customHeight="1">
      <c r="A97" s="45">
        <v>757</v>
      </c>
      <c r="B97" s="45">
        <v>10</v>
      </c>
      <c r="C97" s="45" t="s">
        <v>228</v>
      </c>
      <c r="D97" s="45" t="s">
        <v>290</v>
      </c>
      <c r="E97" s="45">
        <v>1056</v>
      </c>
    </row>
    <row r="98" spans="1:5" ht="17.25" customHeight="1">
      <c r="A98" s="209"/>
      <c r="B98" s="88">
        <f>SUM(B96:B97)</f>
        <v>13</v>
      </c>
      <c r="C98" s="88"/>
      <c r="D98" s="88"/>
      <c r="E98" s="88">
        <f>SUM(E96:E97)</f>
        <v>1282</v>
      </c>
    </row>
    <row r="99" spans="1:5" ht="17.25" customHeight="1">
      <c r="A99" s="269" t="s">
        <v>217</v>
      </c>
      <c r="B99" s="270"/>
      <c r="C99" s="271"/>
      <c r="D99" s="34"/>
      <c r="E99" s="34"/>
    </row>
    <row r="100" spans="1:5" ht="17.25" customHeight="1">
      <c r="A100" s="45">
        <v>758</v>
      </c>
      <c r="B100" s="45">
        <v>8</v>
      </c>
      <c r="C100" s="45" t="s">
        <v>225</v>
      </c>
      <c r="D100" s="45" t="s">
        <v>291</v>
      </c>
      <c r="E100" s="45">
        <v>586</v>
      </c>
    </row>
    <row r="101" spans="1:5" ht="17.25" customHeight="1">
      <c r="A101" s="45">
        <v>759</v>
      </c>
      <c r="B101" s="45">
        <v>1</v>
      </c>
      <c r="C101" s="45" t="s">
        <v>228</v>
      </c>
      <c r="D101" s="45" t="s">
        <v>238</v>
      </c>
      <c r="E101" s="45">
        <v>82</v>
      </c>
    </row>
    <row r="102" spans="1:5" ht="17.25" customHeight="1">
      <c r="A102" s="40"/>
      <c r="B102" s="207">
        <f>SUM(B100:B101)</f>
        <v>9</v>
      </c>
      <c r="C102" s="207"/>
      <c r="D102" s="207"/>
      <c r="E102" s="207">
        <f>SUM(E100:E101)</f>
        <v>668</v>
      </c>
    </row>
    <row r="103" spans="1:5" ht="17.25" customHeight="1">
      <c r="A103" s="207" t="s">
        <v>14</v>
      </c>
      <c r="B103" s="126">
        <f>B98+B102</f>
        <v>22</v>
      </c>
      <c r="C103" s="126"/>
      <c r="D103" s="126"/>
      <c r="E103" s="126">
        <f>E98+E102</f>
        <v>1950</v>
      </c>
    </row>
    <row r="104" spans="1:5" ht="17.25" customHeight="1">
      <c r="A104" s="210"/>
      <c r="B104" s="127"/>
      <c r="C104" s="128"/>
      <c r="D104" s="126"/>
      <c r="E104" s="126"/>
    </row>
    <row r="105" spans="1:5" ht="31.5" customHeight="1">
      <c r="A105" s="262" t="s">
        <v>413</v>
      </c>
      <c r="B105" s="264"/>
      <c r="C105" s="264"/>
      <c r="D105" s="264"/>
      <c r="E105" s="264"/>
    </row>
    <row r="106" spans="1:5" ht="24.75" customHeight="1">
      <c r="A106" s="40" t="s">
        <v>212</v>
      </c>
      <c r="B106" s="40" t="s">
        <v>213</v>
      </c>
      <c r="C106" s="40" t="s">
        <v>214</v>
      </c>
      <c r="D106" s="40" t="s">
        <v>215</v>
      </c>
      <c r="E106" s="39" t="s">
        <v>216</v>
      </c>
    </row>
    <row r="107" spans="1:5" ht="17.25" customHeight="1">
      <c r="A107" s="269" t="s">
        <v>223</v>
      </c>
      <c r="B107" s="270"/>
      <c r="C107" s="271"/>
      <c r="D107" s="40"/>
      <c r="E107" s="39"/>
    </row>
    <row r="108" spans="1:5" ht="17.25" customHeight="1">
      <c r="A108" s="40">
        <v>996</v>
      </c>
      <c r="B108" s="40">
        <v>3</v>
      </c>
      <c r="C108" s="40" t="s">
        <v>218</v>
      </c>
      <c r="D108" s="40" t="s">
        <v>295</v>
      </c>
      <c r="E108" s="106">
        <v>216</v>
      </c>
    </row>
    <row r="109" spans="1:5" ht="17.25" customHeight="1">
      <c r="A109" s="40">
        <v>997</v>
      </c>
      <c r="B109" s="40">
        <v>3</v>
      </c>
      <c r="C109" s="40" t="s">
        <v>237</v>
      </c>
      <c r="D109" s="40" t="s">
        <v>296</v>
      </c>
      <c r="E109" s="106">
        <v>304</v>
      </c>
    </row>
    <row r="110" spans="1:5" ht="17.25" customHeight="1">
      <c r="A110" s="209"/>
      <c r="B110" s="88">
        <f>SUM(B108:B109)</f>
        <v>6</v>
      </c>
      <c r="C110" s="88"/>
      <c r="D110" s="88"/>
      <c r="E110" s="88">
        <f>SUM(E108:E109)</f>
        <v>520</v>
      </c>
    </row>
    <row r="111" spans="1:5" ht="17.25" customHeight="1">
      <c r="A111" s="269" t="s">
        <v>217</v>
      </c>
      <c r="B111" s="270"/>
      <c r="C111" s="271"/>
      <c r="D111" s="34"/>
      <c r="E111" s="34"/>
    </row>
    <row r="112" spans="1:5" ht="17.25" customHeight="1">
      <c r="A112" s="70">
        <v>998</v>
      </c>
      <c r="B112" s="91">
        <v>3</v>
      </c>
      <c r="C112" s="70" t="s">
        <v>236</v>
      </c>
      <c r="D112" s="40" t="s">
        <v>240</v>
      </c>
      <c r="E112" s="107">
        <v>137</v>
      </c>
    </row>
    <row r="113" spans="1:5" ht="17.25" customHeight="1">
      <c r="A113" s="70">
        <v>999</v>
      </c>
      <c r="B113" s="91">
        <v>14</v>
      </c>
      <c r="C113" s="70" t="s">
        <v>218</v>
      </c>
      <c r="D113" s="40" t="s">
        <v>297</v>
      </c>
      <c r="E113" s="107">
        <v>1255</v>
      </c>
    </row>
    <row r="114" spans="1:5" ht="17.25" customHeight="1">
      <c r="A114" s="70">
        <v>1000</v>
      </c>
      <c r="B114" s="91">
        <v>7</v>
      </c>
      <c r="C114" s="70" t="s">
        <v>218</v>
      </c>
      <c r="D114" s="40" t="s">
        <v>298</v>
      </c>
      <c r="E114" s="107">
        <v>613</v>
      </c>
    </row>
    <row r="115" spans="1:5" ht="17.25" customHeight="1">
      <c r="A115" s="70">
        <v>1001</v>
      </c>
      <c r="B115" s="91">
        <v>1</v>
      </c>
      <c r="C115" s="70" t="s">
        <v>237</v>
      </c>
      <c r="D115" s="40" t="s">
        <v>239</v>
      </c>
      <c r="E115" s="107">
        <v>101</v>
      </c>
    </row>
    <row r="116" spans="1:5" ht="17.25" customHeight="1">
      <c r="A116" s="40"/>
      <c r="B116" s="207">
        <f>SUM(B112:B115)</f>
        <v>25</v>
      </c>
      <c r="C116" s="207"/>
      <c r="D116" s="207"/>
      <c r="E116" s="207">
        <f>SUM(E112:E115)</f>
        <v>2106</v>
      </c>
    </row>
    <row r="117" spans="1:5" ht="17.25" customHeight="1">
      <c r="A117" s="207" t="s">
        <v>14</v>
      </c>
      <c r="B117" s="126">
        <f>B110+B116</f>
        <v>31</v>
      </c>
      <c r="C117" s="126"/>
      <c r="D117" s="126"/>
      <c r="E117" s="126">
        <f>E110+E116</f>
        <v>2626</v>
      </c>
    </row>
    <row r="118" spans="1:5" ht="17.25" customHeight="1">
      <c r="A118" s="210"/>
      <c r="B118" s="127"/>
      <c r="C118" s="128"/>
      <c r="D118" s="126"/>
      <c r="E118" s="126"/>
    </row>
    <row r="119" spans="1:7" ht="28.5" customHeight="1">
      <c r="A119" s="262" t="s">
        <v>414</v>
      </c>
      <c r="B119" s="264"/>
      <c r="C119" s="264"/>
      <c r="D119" s="264"/>
      <c r="E119" s="264"/>
      <c r="F119" s="132"/>
      <c r="G119" s="132"/>
    </row>
    <row r="120" spans="1:7" ht="26.25" customHeight="1">
      <c r="A120" s="40" t="s">
        <v>212</v>
      </c>
      <c r="B120" s="40" t="s">
        <v>213</v>
      </c>
      <c r="C120" s="40" t="s">
        <v>214</v>
      </c>
      <c r="D120" s="40" t="s">
        <v>215</v>
      </c>
      <c r="E120" s="39" t="s">
        <v>216</v>
      </c>
      <c r="F120" s="132"/>
      <c r="G120" s="132"/>
    </row>
    <row r="121" spans="1:7" ht="17.25" customHeight="1">
      <c r="A121" s="269" t="s">
        <v>223</v>
      </c>
      <c r="B121" s="270"/>
      <c r="C121" s="271"/>
      <c r="D121" s="40"/>
      <c r="E121" s="39"/>
      <c r="F121" s="132"/>
      <c r="G121" s="132"/>
    </row>
    <row r="122" spans="1:7" ht="17.25" customHeight="1">
      <c r="A122" s="45">
        <v>724</v>
      </c>
      <c r="B122" s="105">
        <v>1</v>
      </c>
      <c r="C122" s="105" t="s">
        <v>224</v>
      </c>
      <c r="D122" s="105" t="s">
        <v>300</v>
      </c>
      <c r="E122" s="105">
        <v>50</v>
      </c>
      <c r="F122" s="132"/>
      <c r="G122" s="132"/>
    </row>
    <row r="123" spans="1:7" ht="17.25" customHeight="1">
      <c r="A123" s="45">
        <v>725</v>
      </c>
      <c r="B123" s="105">
        <v>6</v>
      </c>
      <c r="C123" s="105" t="s">
        <v>225</v>
      </c>
      <c r="D123" s="105" t="s">
        <v>301</v>
      </c>
      <c r="E123" s="105">
        <v>446</v>
      </c>
      <c r="F123" s="132"/>
      <c r="G123" s="132"/>
    </row>
    <row r="124" spans="1:7" ht="17.25" customHeight="1">
      <c r="A124" s="45">
        <v>726</v>
      </c>
      <c r="B124" s="105">
        <v>21</v>
      </c>
      <c r="C124" s="105" t="s">
        <v>228</v>
      </c>
      <c r="D124" s="134" t="s">
        <v>306</v>
      </c>
      <c r="E124" s="105">
        <v>2233</v>
      </c>
      <c r="F124" s="132"/>
      <c r="G124" s="132"/>
    </row>
    <row r="125" spans="1:7" ht="17.25" customHeight="1">
      <c r="A125" s="207"/>
      <c r="B125" s="207">
        <f>SUM(B122:B124)</f>
        <v>28</v>
      </c>
      <c r="C125" s="207"/>
      <c r="D125" s="207"/>
      <c r="E125" s="207">
        <f>SUM(E122:E124)</f>
        <v>2729</v>
      </c>
      <c r="F125" s="132"/>
      <c r="G125" s="132"/>
    </row>
    <row r="126" spans="1:7" ht="17.25" customHeight="1">
      <c r="A126" s="269" t="s">
        <v>217</v>
      </c>
      <c r="B126" s="270"/>
      <c r="C126" s="271"/>
      <c r="D126" s="207"/>
      <c r="E126" s="210"/>
      <c r="F126" s="132"/>
      <c r="G126" s="132"/>
    </row>
    <row r="127" spans="1:7" ht="17.25" customHeight="1">
      <c r="A127" s="45">
        <v>730</v>
      </c>
      <c r="B127" s="105">
        <v>1</v>
      </c>
      <c r="C127" s="109" t="s">
        <v>244</v>
      </c>
      <c r="D127" s="105" t="s">
        <v>302</v>
      </c>
      <c r="E127" s="105">
        <v>265</v>
      </c>
      <c r="F127" s="132"/>
      <c r="G127" s="132"/>
    </row>
    <row r="128" spans="1:7" ht="17.25" customHeight="1">
      <c r="A128" s="45">
        <v>727</v>
      </c>
      <c r="B128" s="105">
        <v>10</v>
      </c>
      <c r="C128" s="105" t="s">
        <v>225</v>
      </c>
      <c r="D128" s="105" t="s">
        <v>303</v>
      </c>
      <c r="E128" s="105">
        <v>750</v>
      </c>
      <c r="F128" s="132"/>
      <c r="G128" s="132"/>
    </row>
    <row r="129" spans="1:7" ht="17.25" customHeight="1">
      <c r="A129" s="45">
        <v>728</v>
      </c>
      <c r="B129" s="105">
        <v>5</v>
      </c>
      <c r="C129" s="105" t="s">
        <v>228</v>
      </c>
      <c r="D129" s="105" t="s">
        <v>304</v>
      </c>
      <c r="E129" s="105">
        <v>403</v>
      </c>
      <c r="F129" s="132"/>
      <c r="G129" s="132"/>
    </row>
    <row r="130" spans="1:7" ht="17.25" customHeight="1">
      <c r="A130" s="45">
        <v>729</v>
      </c>
      <c r="B130" s="105">
        <v>2</v>
      </c>
      <c r="C130" s="109" t="s">
        <v>232</v>
      </c>
      <c r="D130" s="105" t="s">
        <v>305</v>
      </c>
      <c r="E130" s="105">
        <v>207</v>
      </c>
      <c r="F130" s="132"/>
      <c r="G130" s="132"/>
    </row>
    <row r="131" spans="1:7" ht="17.25" customHeight="1">
      <c r="A131" s="40"/>
      <c r="B131" s="207">
        <f>SUM(B127:B130)</f>
        <v>18</v>
      </c>
      <c r="C131" s="207"/>
      <c r="D131" s="207"/>
      <c r="E131" s="207">
        <f>SUM(E127:E130)</f>
        <v>1625</v>
      </c>
      <c r="F131" s="132"/>
      <c r="G131" s="132"/>
    </row>
    <row r="132" spans="1:7" ht="17.25" customHeight="1">
      <c r="A132" s="207" t="s">
        <v>14</v>
      </c>
      <c r="B132" s="126">
        <f>B125+B131</f>
        <v>46</v>
      </c>
      <c r="C132" s="126"/>
      <c r="D132" s="126"/>
      <c r="E132" s="126">
        <f>E125+E131</f>
        <v>4354</v>
      </c>
      <c r="F132" s="132"/>
      <c r="G132" s="132"/>
    </row>
    <row r="133" spans="1:7" ht="17.25" customHeight="1">
      <c r="A133" s="210"/>
      <c r="B133" s="127"/>
      <c r="C133" s="128"/>
      <c r="D133" s="126"/>
      <c r="E133" s="126"/>
      <c r="F133" s="132"/>
      <c r="G133" s="132"/>
    </row>
    <row r="134" spans="1:7" ht="27.75" customHeight="1">
      <c r="A134" s="262" t="s">
        <v>415</v>
      </c>
      <c r="B134" s="264"/>
      <c r="C134" s="264"/>
      <c r="D134" s="264"/>
      <c r="E134" s="264"/>
      <c r="F134" s="132"/>
      <c r="G134" s="132"/>
    </row>
    <row r="135" spans="1:7" ht="21.75" customHeight="1">
      <c r="A135" s="40" t="s">
        <v>212</v>
      </c>
      <c r="B135" s="40" t="s">
        <v>213</v>
      </c>
      <c r="C135" s="40" t="s">
        <v>214</v>
      </c>
      <c r="D135" s="40" t="s">
        <v>215</v>
      </c>
      <c r="E135" s="39" t="s">
        <v>216</v>
      </c>
      <c r="F135" s="132"/>
      <c r="G135" s="132"/>
    </row>
    <row r="136" spans="1:7" ht="17.25" customHeight="1">
      <c r="A136" s="269" t="s">
        <v>223</v>
      </c>
      <c r="B136" s="270"/>
      <c r="C136" s="271"/>
      <c r="D136" s="40"/>
      <c r="E136" s="39"/>
      <c r="F136" s="132"/>
      <c r="G136" s="132"/>
    </row>
    <row r="137" spans="1:7" ht="17.25" customHeight="1">
      <c r="A137" s="45">
        <v>431</v>
      </c>
      <c r="B137" s="45">
        <v>6</v>
      </c>
      <c r="C137" s="45" t="s">
        <v>228</v>
      </c>
      <c r="D137" s="45" t="s">
        <v>307</v>
      </c>
      <c r="E137" s="45">
        <v>696</v>
      </c>
      <c r="F137" s="132"/>
      <c r="G137" s="132"/>
    </row>
    <row r="138" spans="1:7" ht="17.25" customHeight="1">
      <c r="A138" s="45">
        <v>431</v>
      </c>
      <c r="B138" s="45">
        <v>2</v>
      </c>
      <c r="C138" s="45" t="s">
        <v>225</v>
      </c>
      <c r="D138" s="45" t="s">
        <v>308</v>
      </c>
      <c r="E138" s="45">
        <v>174</v>
      </c>
      <c r="F138" s="132"/>
      <c r="G138" s="132"/>
    </row>
    <row r="139" spans="1:7" ht="17.25" customHeight="1">
      <c r="A139" s="207"/>
      <c r="B139" s="207">
        <f>SUM(B137:B138)</f>
        <v>8</v>
      </c>
      <c r="C139" s="207"/>
      <c r="D139" s="207"/>
      <c r="E139" s="207">
        <f>SUM(E137:E138)</f>
        <v>870</v>
      </c>
      <c r="F139" s="132"/>
      <c r="G139" s="132"/>
    </row>
    <row r="140" spans="1:7" ht="17.25" customHeight="1">
      <c r="A140" s="269" t="s">
        <v>217</v>
      </c>
      <c r="B140" s="270"/>
      <c r="C140" s="271"/>
      <c r="D140" s="207"/>
      <c r="E140" s="210"/>
      <c r="F140" s="132"/>
      <c r="G140" s="132"/>
    </row>
    <row r="141" spans="1:7" ht="17.25" customHeight="1">
      <c r="A141" s="45">
        <v>433</v>
      </c>
      <c r="B141" s="45">
        <v>2</v>
      </c>
      <c r="C141" s="109" t="s">
        <v>232</v>
      </c>
      <c r="D141" s="45" t="s">
        <v>309</v>
      </c>
      <c r="E141" s="45">
        <v>250</v>
      </c>
      <c r="F141" s="132"/>
      <c r="G141" s="132"/>
    </row>
    <row r="142" spans="1:7" ht="17.25" customHeight="1">
      <c r="A142" s="45">
        <v>432</v>
      </c>
      <c r="B142" s="45">
        <v>1</v>
      </c>
      <c r="C142" s="45" t="s">
        <v>228</v>
      </c>
      <c r="D142" s="45" t="s">
        <v>239</v>
      </c>
      <c r="E142" s="45">
        <v>90</v>
      </c>
      <c r="F142" s="132"/>
      <c r="G142" s="132"/>
    </row>
    <row r="143" spans="1:7" ht="17.25" customHeight="1">
      <c r="A143" s="45">
        <v>432</v>
      </c>
      <c r="B143" s="45">
        <v>1</v>
      </c>
      <c r="C143" s="109" t="s">
        <v>232</v>
      </c>
      <c r="D143" s="45" t="s">
        <v>239</v>
      </c>
      <c r="E143" s="45">
        <v>125</v>
      </c>
      <c r="F143" s="132"/>
      <c r="G143" s="132"/>
    </row>
    <row r="144" spans="1:7" ht="17.25" customHeight="1">
      <c r="A144" s="40"/>
      <c r="B144" s="207">
        <f>SUM(B141:B143)</f>
        <v>4</v>
      </c>
      <c r="C144" s="207"/>
      <c r="D144" s="207"/>
      <c r="E144" s="207">
        <f>SUM(E141:E143)</f>
        <v>465</v>
      </c>
      <c r="F144" s="132"/>
      <c r="G144" s="132"/>
    </row>
    <row r="145" spans="1:7" ht="17.25" customHeight="1">
      <c r="A145" s="207" t="s">
        <v>14</v>
      </c>
      <c r="B145" s="126">
        <f>B139+B144</f>
        <v>12</v>
      </c>
      <c r="C145" s="126"/>
      <c r="D145" s="126"/>
      <c r="E145" s="126">
        <f>E139+E144</f>
        <v>1335</v>
      </c>
      <c r="F145" s="132"/>
      <c r="G145" s="132"/>
    </row>
    <row r="146" spans="1:7" ht="17.25" customHeight="1">
      <c r="A146" s="210"/>
      <c r="B146" s="127"/>
      <c r="C146" s="128"/>
      <c r="D146" s="126"/>
      <c r="E146" s="126"/>
      <c r="F146" s="132"/>
      <c r="G146" s="132"/>
    </row>
    <row r="147" spans="1:7" ht="27" customHeight="1">
      <c r="A147" s="262" t="s">
        <v>416</v>
      </c>
      <c r="B147" s="264"/>
      <c r="C147" s="264"/>
      <c r="D147" s="264"/>
      <c r="E147" s="264"/>
      <c r="F147" s="132"/>
      <c r="G147" s="132"/>
    </row>
    <row r="148" spans="1:7" ht="23.25" customHeight="1">
      <c r="A148" s="40" t="s">
        <v>212</v>
      </c>
      <c r="B148" s="40" t="s">
        <v>213</v>
      </c>
      <c r="C148" s="40" t="s">
        <v>214</v>
      </c>
      <c r="D148" s="40" t="s">
        <v>215</v>
      </c>
      <c r="E148" s="39" t="s">
        <v>216</v>
      </c>
      <c r="F148" s="132"/>
      <c r="G148" s="132"/>
    </row>
    <row r="149" spans="1:7" ht="17.25" customHeight="1">
      <c r="A149" s="269" t="s">
        <v>217</v>
      </c>
      <c r="B149" s="270"/>
      <c r="C149" s="271"/>
      <c r="D149" s="207"/>
      <c r="E149" s="210"/>
      <c r="F149" s="132"/>
      <c r="G149" s="132"/>
    </row>
    <row r="150" spans="1:7" ht="17.25" customHeight="1">
      <c r="A150" s="112">
        <v>109</v>
      </c>
      <c r="B150" s="113">
        <v>25</v>
      </c>
      <c r="C150" s="113" t="s">
        <v>218</v>
      </c>
      <c r="D150" s="40" t="s">
        <v>310</v>
      </c>
      <c r="E150" s="140">
        <v>1149</v>
      </c>
      <c r="F150" s="132"/>
      <c r="G150" s="132"/>
    </row>
    <row r="151" spans="1:7" ht="17.25" customHeight="1">
      <c r="A151" s="113">
        <v>110</v>
      </c>
      <c r="B151" s="113">
        <v>29</v>
      </c>
      <c r="C151" s="113" t="s">
        <v>218</v>
      </c>
      <c r="D151" s="40" t="s">
        <v>311</v>
      </c>
      <c r="E151" s="140">
        <v>1347</v>
      </c>
      <c r="F151" s="132"/>
      <c r="G151" s="132"/>
    </row>
    <row r="152" spans="1:7" ht="17.25" customHeight="1">
      <c r="A152" s="40"/>
      <c r="B152" s="207">
        <f>SUM(B150:B151)</f>
        <v>54</v>
      </c>
      <c r="C152" s="207"/>
      <c r="D152" s="207"/>
      <c r="E152" s="210">
        <f>SUM(E150:E151)</f>
        <v>2496</v>
      </c>
      <c r="F152" s="132"/>
      <c r="G152" s="132"/>
    </row>
    <row r="153" spans="1:7" ht="17.25" customHeight="1">
      <c r="A153" s="207" t="s">
        <v>14</v>
      </c>
      <c r="B153" s="126">
        <f>B152</f>
        <v>54</v>
      </c>
      <c r="C153" s="126"/>
      <c r="D153" s="126"/>
      <c r="E153" s="126">
        <f>E152</f>
        <v>2496</v>
      </c>
      <c r="F153" s="132"/>
      <c r="G153" s="132"/>
    </row>
    <row r="154" spans="1:7" ht="17.25" customHeight="1">
      <c r="A154" s="210"/>
      <c r="B154" s="127"/>
      <c r="C154" s="128"/>
      <c r="D154" s="126"/>
      <c r="E154" s="126"/>
      <c r="F154" s="132"/>
      <c r="G154" s="132"/>
    </row>
    <row r="155" spans="1:7" ht="27.75" customHeight="1">
      <c r="A155" s="262" t="s">
        <v>417</v>
      </c>
      <c r="B155" s="264"/>
      <c r="C155" s="264"/>
      <c r="D155" s="264"/>
      <c r="E155" s="264"/>
      <c r="F155" s="132"/>
      <c r="G155" s="132"/>
    </row>
    <row r="156" spans="1:7" ht="24.75" customHeight="1">
      <c r="A156" s="40" t="s">
        <v>212</v>
      </c>
      <c r="B156" s="40" t="s">
        <v>213</v>
      </c>
      <c r="C156" s="40" t="s">
        <v>214</v>
      </c>
      <c r="D156" s="40" t="s">
        <v>215</v>
      </c>
      <c r="E156" s="39" t="s">
        <v>216</v>
      </c>
      <c r="F156" s="132"/>
      <c r="G156" s="132"/>
    </row>
    <row r="157" spans="1:7" ht="17.25" customHeight="1">
      <c r="A157" s="269" t="s">
        <v>223</v>
      </c>
      <c r="B157" s="270"/>
      <c r="C157" s="271"/>
      <c r="D157" s="40"/>
      <c r="E157" s="39"/>
      <c r="F157" s="132"/>
      <c r="G157" s="132"/>
    </row>
    <row r="158" spans="1:7" ht="17.25" customHeight="1">
      <c r="A158" s="91">
        <v>1288</v>
      </c>
      <c r="B158" s="91">
        <v>2</v>
      </c>
      <c r="C158" s="91" t="s">
        <v>224</v>
      </c>
      <c r="D158" s="70" t="s">
        <v>312</v>
      </c>
      <c r="E158" s="91">
        <v>110</v>
      </c>
      <c r="F158" s="132"/>
      <c r="G158" s="132"/>
    </row>
    <row r="159" spans="1:7" ht="17.25" customHeight="1">
      <c r="A159" s="70">
        <v>1289</v>
      </c>
      <c r="B159" s="91">
        <v>8</v>
      </c>
      <c r="C159" s="91" t="s">
        <v>218</v>
      </c>
      <c r="D159" s="70" t="s">
        <v>313</v>
      </c>
      <c r="E159" s="70">
        <v>624</v>
      </c>
      <c r="F159" s="132"/>
      <c r="G159" s="132"/>
    </row>
    <row r="160" spans="1:7" ht="17.25" customHeight="1">
      <c r="A160" s="70">
        <v>1290</v>
      </c>
      <c r="B160" s="40">
        <v>4</v>
      </c>
      <c r="C160" s="40" t="s">
        <v>228</v>
      </c>
      <c r="D160" s="40" t="s">
        <v>314</v>
      </c>
      <c r="E160" s="40">
        <v>440</v>
      </c>
      <c r="F160" s="132"/>
      <c r="G160" s="132"/>
    </row>
    <row r="161" spans="1:7" ht="17.25" customHeight="1">
      <c r="A161" s="207"/>
      <c r="B161" s="207">
        <f>SUM(B158:B160)</f>
        <v>14</v>
      </c>
      <c r="C161" s="207"/>
      <c r="D161" s="207"/>
      <c r="E161" s="207">
        <f>SUM(E158:E160)</f>
        <v>1174</v>
      </c>
      <c r="F161" s="132"/>
      <c r="G161" s="132"/>
    </row>
    <row r="162" spans="1:7" ht="17.25" customHeight="1">
      <c r="A162" s="269" t="s">
        <v>217</v>
      </c>
      <c r="B162" s="270"/>
      <c r="C162" s="271"/>
      <c r="D162" s="207"/>
      <c r="E162" s="210"/>
      <c r="F162" s="132"/>
      <c r="G162" s="132"/>
    </row>
    <row r="163" spans="1:7" ht="17.25" customHeight="1">
      <c r="A163" s="139">
        <v>1292</v>
      </c>
      <c r="B163" s="60">
        <v>3</v>
      </c>
      <c r="C163" s="208" t="s">
        <v>241</v>
      </c>
      <c r="D163" s="40" t="s">
        <v>315</v>
      </c>
      <c r="E163" s="60">
        <v>636</v>
      </c>
      <c r="F163" s="132"/>
      <c r="G163" s="132"/>
    </row>
    <row r="164" spans="1:7" ht="17.25" customHeight="1">
      <c r="A164" s="137">
        <v>1293</v>
      </c>
      <c r="B164" s="91">
        <v>3</v>
      </c>
      <c r="C164" s="208" t="s">
        <v>244</v>
      </c>
      <c r="D164" s="40" t="s">
        <v>316</v>
      </c>
      <c r="E164" s="70">
        <v>830</v>
      </c>
      <c r="F164" s="132"/>
      <c r="G164" s="132"/>
    </row>
    <row r="165" spans="1:7" ht="17.25" customHeight="1">
      <c r="A165" s="139">
        <v>1291</v>
      </c>
      <c r="B165" s="60">
        <v>25</v>
      </c>
      <c r="C165" s="40" t="s">
        <v>218</v>
      </c>
      <c r="D165" s="40" t="s">
        <v>310</v>
      </c>
      <c r="E165" s="60">
        <v>1426</v>
      </c>
      <c r="F165" s="132"/>
      <c r="G165" s="132"/>
    </row>
    <row r="166" spans="1:7" ht="17.25" customHeight="1">
      <c r="A166" s="40"/>
      <c r="B166" s="207">
        <f>SUM(B163:B165)</f>
        <v>31</v>
      </c>
      <c r="C166" s="207"/>
      <c r="D166" s="207"/>
      <c r="E166" s="210">
        <f>SUM(E163:E165)</f>
        <v>2892</v>
      </c>
      <c r="F166" s="132"/>
      <c r="G166" s="132"/>
    </row>
    <row r="167" spans="1:7" ht="17.25" customHeight="1">
      <c r="A167" s="207" t="s">
        <v>14</v>
      </c>
      <c r="B167" s="126">
        <f>B161+B166</f>
        <v>45</v>
      </c>
      <c r="C167" s="126"/>
      <c r="D167" s="126"/>
      <c r="E167" s="126">
        <f>E161+E166</f>
        <v>4066</v>
      </c>
      <c r="F167" s="132"/>
      <c r="G167" s="132"/>
    </row>
    <row r="168" spans="1:7" ht="17.25" customHeight="1">
      <c r="A168" s="210"/>
      <c r="B168" s="127"/>
      <c r="C168" s="128"/>
      <c r="D168" s="126"/>
      <c r="E168" s="126"/>
      <c r="F168" s="132"/>
      <c r="G168" s="132"/>
    </row>
    <row r="169" spans="1:7" ht="27" customHeight="1">
      <c r="A169" s="262" t="s">
        <v>418</v>
      </c>
      <c r="B169" s="264"/>
      <c r="C169" s="264"/>
      <c r="D169" s="264"/>
      <c r="E169" s="264"/>
      <c r="F169" s="132"/>
      <c r="G169" s="132"/>
    </row>
    <row r="170" spans="1:7" ht="27" customHeight="1">
      <c r="A170" s="40" t="s">
        <v>212</v>
      </c>
      <c r="B170" s="40" t="s">
        <v>213</v>
      </c>
      <c r="C170" s="40" t="s">
        <v>214</v>
      </c>
      <c r="D170" s="40" t="s">
        <v>215</v>
      </c>
      <c r="E170" s="39" t="s">
        <v>216</v>
      </c>
      <c r="F170" s="132"/>
      <c r="G170" s="132"/>
    </row>
    <row r="171" spans="1:7" ht="17.25" customHeight="1">
      <c r="A171" s="269" t="s">
        <v>223</v>
      </c>
      <c r="B171" s="270"/>
      <c r="C171" s="271"/>
      <c r="D171" s="40"/>
      <c r="E171" s="39"/>
      <c r="F171" s="132"/>
      <c r="G171" s="132"/>
    </row>
    <row r="172" spans="1:7" ht="17.25" customHeight="1">
      <c r="A172" s="40">
        <v>1123</v>
      </c>
      <c r="B172" s="60">
        <v>4</v>
      </c>
      <c r="C172" s="60" t="s">
        <v>228</v>
      </c>
      <c r="D172" s="40" t="s">
        <v>328</v>
      </c>
      <c r="E172" s="40">
        <v>448</v>
      </c>
      <c r="F172" s="132"/>
      <c r="G172" s="132"/>
    </row>
    <row r="173" spans="1:7" ht="17.25" customHeight="1">
      <c r="A173" s="40">
        <v>1124</v>
      </c>
      <c r="B173" s="60">
        <v>2</v>
      </c>
      <c r="C173" s="60" t="s">
        <v>225</v>
      </c>
      <c r="D173" s="40" t="s">
        <v>329</v>
      </c>
      <c r="E173" s="40">
        <v>166</v>
      </c>
      <c r="F173" s="132"/>
      <c r="G173" s="132"/>
    </row>
    <row r="174" spans="1:7" ht="17.25" customHeight="1">
      <c r="A174" s="40"/>
      <c r="B174" s="207">
        <f>SUM(B172:B173)</f>
        <v>6</v>
      </c>
      <c r="C174" s="207"/>
      <c r="D174" s="207"/>
      <c r="E174" s="207">
        <f>SUM(E172:E173)</f>
        <v>614</v>
      </c>
      <c r="F174" s="132"/>
      <c r="G174" s="132"/>
    </row>
    <row r="175" spans="1:7" ht="17.25" customHeight="1">
      <c r="A175" s="269" t="s">
        <v>217</v>
      </c>
      <c r="B175" s="270"/>
      <c r="C175" s="271"/>
      <c r="D175" s="40"/>
      <c r="E175" s="39"/>
      <c r="F175" s="132"/>
      <c r="G175" s="132"/>
    </row>
    <row r="176" spans="1:7" ht="17.25" customHeight="1">
      <c r="A176" s="70">
        <v>1120</v>
      </c>
      <c r="B176" s="91">
        <v>19</v>
      </c>
      <c r="C176" s="91" t="s">
        <v>228</v>
      </c>
      <c r="D176" s="40" t="s">
        <v>330</v>
      </c>
      <c r="E176" s="70">
        <v>1957</v>
      </c>
      <c r="F176" s="132"/>
      <c r="G176" s="132"/>
    </row>
    <row r="177" spans="1:7" ht="17.25" customHeight="1">
      <c r="A177" s="40">
        <v>1121</v>
      </c>
      <c r="B177" s="40">
        <v>20</v>
      </c>
      <c r="C177" s="91" t="s">
        <v>225</v>
      </c>
      <c r="D177" s="64" t="s">
        <v>331</v>
      </c>
      <c r="E177" s="40">
        <v>1860</v>
      </c>
      <c r="F177" s="132"/>
      <c r="G177" s="132"/>
    </row>
    <row r="178" spans="1:7" ht="17.25" customHeight="1">
      <c r="A178" s="40">
        <v>1122</v>
      </c>
      <c r="B178" s="40">
        <v>12</v>
      </c>
      <c r="C178" s="91" t="s">
        <v>225</v>
      </c>
      <c r="D178" s="64" t="s">
        <v>332</v>
      </c>
      <c r="E178" s="40">
        <v>1134</v>
      </c>
      <c r="F178" s="132"/>
      <c r="G178" s="132"/>
    </row>
    <row r="179" spans="1:7" ht="17.25" customHeight="1">
      <c r="A179" s="40"/>
      <c r="B179" s="207">
        <f>SUM(B176:B178)</f>
        <v>51</v>
      </c>
      <c r="C179" s="207"/>
      <c r="D179" s="207"/>
      <c r="E179" s="210">
        <f>SUM(E176:E178)</f>
        <v>4951</v>
      </c>
      <c r="F179" s="132"/>
      <c r="G179" s="132"/>
    </row>
    <row r="180" spans="1:7" ht="17.25" customHeight="1">
      <c r="A180" s="207" t="s">
        <v>14</v>
      </c>
      <c r="B180" s="126">
        <f>B174+B179</f>
        <v>57</v>
      </c>
      <c r="C180" s="126"/>
      <c r="D180" s="126"/>
      <c r="E180" s="126">
        <f>E174+E179</f>
        <v>5565</v>
      </c>
      <c r="F180" s="132"/>
      <c r="G180" s="132"/>
    </row>
    <row r="181" spans="1:7" ht="17.25" customHeight="1">
      <c r="A181" s="210"/>
      <c r="B181" s="127"/>
      <c r="C181" s="128"/>
      <c r="D181" s="126"/>
      <c r="E181" s="126"/>
      <c r="F181" s="132"/>
      <c r="G181" s="132"/>
    </row>
    <row r="182" spans="1:7" ht="30" customHeight="1">
      <c r="A182" s="262" t="s">
        <v>299</v>
      </c>
      <c r="B182" s="264"/>
      <c r="C182" s="264"/>
      <c r="D182" s="264"/>
      <c r="E182" s="264"/>
      <c r="F182" s="132"/>
      <c r="G182" s="132"/>
    </row>
    <row r="183" spans="1:7" ht="26.25" customHeight="1">
      <c r="A183" s="40" t="s">
        <v>212</v>
      </c>
      <c r="B183" s="40" t="s">
        <v>213</v>
      </c>
      <c r="C183" s="40" t="s">
        <v>214</v>
      </c>
      <c r="D183" s="40" t="s">
        <v>215</v>
      </c>
      <c r="E183" s="39" t="s">
        <v>216</v>
      </c>
      <c r="F183" s="132"/>
      <c r="G183" s="132"/>
    </row>
    <row r="184" spans="1:7" ht="17.25" customHeight="1">
      <c r="A184" s="269" t="s">
        <v>223</v>
      </c>
      <c r="B184" s="270"/>
      <c r="C184" s="271"/>
      <c r="D184" s="40"/>
      <c r="E184" s="39"/>
      <c r="F184" s="132"/>
      <c r="G184" s="132"/>
    </row>
    <row r="185" spans="1:7" ht="28.5" customHeight="1">
      <c r="A185" s="234" t="s">
        <v>335</v>
      </c>
      <c r="B185" s="234">
        <v>20</v>
      </c>
      <c r="C185" s="234" t="s">
        <v>224</v>
      </c>
      <c r="D185" s="23" t="s">
        <v>336</v>
      </c>
      <c r="E185" s="234">
        <v>1167.1</v>
      </c>
      <c r="F185" s="132"/>
      <c r="G185" s="132"/>
    </row>
    <row r="186" spans="1:7" ht="26.25" customHeight="1">
      <c r="A186" s="234" t="s">
        <v>337</v>
      </c>
      <c r="B186" s="234">
        <v>18</v>
      </c>
      <c r="C186" s="234" t="s">
        <v>218</v>
      </c>
      <c r="D186" s="23" t="s">
        <v>338</v>
      </c>
      <c r="E186" s="234">
        <v>1439.55</v>
      </c>
      <c r="F186" s="132"/>
      <c r="G186" s="132"/>
    </row>
    <row r="187" spans="1:7" ht="24" customHeight="1">
      <c r="A187" s="234" t="s">
        <v>339</v>
      </c>
      <c r="B187" s="234">
        <v>7</v>
      </c>
      <c r="C187" s="234" t="s">
        <v>228</v>
      </c>
      <c r="D187" s="23" t="s">
        <v>340</v>
      </c>
      <c r="E187" s="234">
        <v>735</v>
      </c>
      <c r="F187" s="132"/>
      <c r="G187" s="132"/>
    </row>
    <row r="188" spans="1:7" ht="24" customHeight="1">
      <c r="A188" s="234" t="s">
        <v>341</v>
      </c>
      <c r="B188" s="234">
        <v>10</v>
      </c>
      <c r="C188" s="234" t="s">
        <v>224</v>
      </c>
      <c r="D188" s="23" t="s">
        <v>342</v>
      </c>
      <c r="E188" s="234">
        <v>579.7</v>
      </c>
      <c r="F188" s="132"/>
      <c r="G188" s="132"/>
    </row>
    <row r="189" spans="1:7" ht="17.25" customHeight="1">
      <c r="A189" s="40"/>
      <c r="B189" s="207">
        <f>SUM(B185:B188)</f>
        <v>55</v>
      </c>
      <c r="C189" s="207"/>
      <c r="D189" s="207"/>
      <c r="E189" s="207">
        <f>SUM(E185:E188)</f>
        <v>3921.3499999999995</v>
      </c>
      <c r="F189" s="132"/>
      <c r="G189" s="132"/>
    </row>
    <row r="190" spans="1:7" ht="17.25" customHeight="1">
      <c r="A190" s="269" t="s">
        <v>217</v>
      </c>
      <c r="B190" s="270"/>
      <c r="C190" s="271"/>
      <c r="D190" s="40"/>
      <c r="E190" s="39"/>
      <c r="F190" s="132"/>
      <c r="G190" s="132"/>
    </row>
    <row r="191" spans="1:8" ht="17.25" customHeight="1">
      <c r="A191" s="60" t="s">
        <v>343</v>
      </c>
      <c r="B191" s="60">
        <v>18</v>
      </c>
      <c r="C191" s="40" t="s">
        <v>224</v>
      </c>
      <c r="D191" s="40" t="s">
        <v>344</v>
      </c>
      <c r="E191" s="60">
        <v>1075</v>
      </c>
      <c r="F191" s="132"/>
      <c r="G191" s="132"/>
      <c r="H191" s="99">
        <f>B191+B198</f>
        <v>26</v>
      </c>
    </row>
    <row r="192" spans="1:8" ht="17.25" customHeight="1">
      <c r="A192" s="60" t="s">
        <v>345</v>
      </c>
      <c r="B192" s="60">
        <v>8</v>
      </c>
      <c r="C192" s="208" t="s">
        <v>346</v>
      </c>
      <c r="D192" s="40" t="s">
        <v>347</v>
      </c>
      <c r="E192" s="40">
        <v>1046.4</v>
      </c>
      <c r="F192" s="132"/>
      <c r="G192" s="132"/>
      <c r="H192" s="99">
        <f>B195+B197</f>
        <v>26</v>
      </c>
    </row>
    <row r="193" spans="1:8" ht="17.25" customHeight="1">
      <c r="A193" s="60" t="s">
        <v>348</v>
      </c>
      <c r="B193" s="60">
        <v>3</v>
      </c>
      <c r="C193" s="208" t="s">
        <v>244</v>
      </c>
      <c r="D193" s="40" t="s">
        <v>349</v>
      </c>
      <c r="E193" s="60">
        <v>790</v>
      </c>
      <c r="F193" s="132"/>
      <c r="G193" s="132"/>
      <c r="H193" s="99">
        <f>B196</f>
        <v>1</v>
      </c>
    </row>
    <row r="194" spans="1:7" ht="17.25" customHeight="1">
      <c r="A194" s="60" t="s">
        <v>350</v>
      </c>
      <c r="B194" s="60">
        <v>2</v>
      </c>
      <c r="C194" s="208" t="s">
        <v>232</v>
      </c>
      <c r="D194" s="40" t="s">
        <v>351</v>
      </c>
      <c r="E194" s="60">
        <v>185</v>
      </c>
      <c r="F194" s="132"/>
      <c r="G194" s="132"/>
    </row>
    <row r="195" spans="1:7" ht="17.25" customHeight="1">
      <c r="A195" s="60" t="s">
        <v>352</v>
      </c>
      <c r="B195" s="60">
        <v>20</v>
      </c>
      <c r="C195" s="40" t="s">
        <v>218</v>
      </c>
      <c r="D195" s="40" t="s">
        <v>353</v>
      </c>
      <c r="E195" s="60">
        <v>1218</v>
      </c>
      <c r="F195" s="132"/>
      <c r="G195" s="132"/>
    </row>
    <row r="196" spans="1:7" ht="17.25" customHeight="1">
      <c r="A196" s="60" t="s">
        <v>354</v>
      </c>
      <c r="B196" s="60">
        <v>1</v>
      </c>
      <c r="C196" s="40" t="s">
        <v>237</v>
      </c>
      <c r="D196" s="40" t="s">
        <v>355</v>
      </c>
      <c r="E196" s="60">
        <v>75</v>
      </c>
      <c r="F196" s="132"/>
      <c r="G196" s="132"/>
    </row>
    <row r="197" spans="1:7" ht="17.25" customHeight="1">
      <c r="A197" s="60" t="s">
        <v>356</v>
      </c>
      <c r="B197" s="60">
        <v>6</v>
      </c>
      <c r="C197" s="40" t="s">
        <v>361</v>
      </c>
      <c r="D197" s="40" t="s">
        <v>357</v>
      </c>
      <c r="E197" s="60">
        <v>366</v>
      </c>
      <c r="F197" s="132"/>
      <c r="G197" s="132"/>
    </row>
    <row r="198" spans="1:7" ht="17.25" customHeight="1">
      <c r="A198" s="60" t="s">
        <v>358</v>
      </c>
      <c r="B198" s="60">
        <v>8</v>
      </c>
      <c r="C198" s="40" t="s">
        <v>359</v>
      </c>
      <c r="D198" s="40" t="s">
        <v>360</v>
      </c>
      <c r="E198" s="60">
        <v>345</v>
      </c>
      <c r="F198" s="132"/>
      <c r="G198" s="132"/>
    </row>
    <row r="199" spans="1:7" ht="17.25" customHeight="1">
      <c r="A199" s="40"/>
      <c r="B199" s="207">
        <f>SUM(B191:B198)</f>
        <v>66</v>
      </c>
      <c r="C199" s="207"/>
      <c r="D199" s="207"/>
      <c r="E199" s="210">
        <f>SUM(E191:E198)</f>
        <v>5100.4</v>
      </c>
      <c r="F199" s="132"/>
      <c r="G199" s="132"/>
    </row>
    <row r="200" spans="1:7" ht="17.25" customHeight="1">
      <c r="A200" s="207" t="s">
        <v>14</v>
      </c>
      <c r="B200" s="126">
        <f>B189+B199</f>
        <v>121</v>
      </c>
      <c r="C200" s="126"/>
      <c r="D200" s="126"/>
      <c r="E200" s="126">
        <f>E189+E199</f>
        <v>9021.75</v>
      </c>
      <c r="F200" s="132"/>
      <c r="G200" s="132"/>
    </row>
    <row r="201" spans="1:7" ht="17.25" customHeight="1">
      <c r="A201" s="210"/>
      <c r="B201" s="127"/>
      <c r="C201" s="128"/>
      <c r="D201" s="126"/>
      <c r="E201" s="126"/>
      <c r="F201" s="132"/>
      <c r="G201" s="132"/>
    </row>
    <row r="202" spans="1:7" ht="28.5" customHeight="1">
      <c r="A202" s="262" t="s">
        <v>419</v>
      </c>
      <c r="B202" s="264"/>
      <c r="C202" s="264"/>
      <c r="D202" s="264"/>
      <c r="E202" s="264"/>
      <c r="F202" s="132"/>
      <c r="G202" s="132"/>
    </row>
    <row r="203" spans="1:7" ht="24.75" customHeight="1">
      <c r="A203" s="40" t="s">
        <v>212</v>
      </c>
      <c r="B203" s="40" t="s">
        <v>213</v>
      </c>
      <c r="C203" s="40" t="s">
        <v>214</v>
      </c>
      <c r="D203" s="40" t="s">
        <v>215</v>
      </c>
      <c r="E203" s="39" t="s">
        <v>216</v>
      </c>
      <c r="F203" s="132"/>
      <c r="G203" s="132"/>
    </row>
    <row r="204" spans="1:7" ht="17.25" customHeight="1">
      <c r="A204" s="269" t="s">
        <v>223</v>
      </c>
      <c r="B204" s="270"/>
      <c r="C204" s="271"/>
      <c r="D204" s="40"/>
      <c r="E204" s="39"/>
      <c r="F204" s="132"/>
      <c r="G204" s="132"/>
    </row>
    <row r="205" spans="1:7" ht="17.25" customHeight="1">
      <c r="A205" s="70">
        <v>760</v>
      </c>
      <c r="B205" s="40">
        <v>1</v>
      </c>
      <c r="C205" s="40" t="s">
        <v>225</v>
      </c>
      <c r="D205" s="40" t="s">
        <v>362</v>
      </c>
      <c r="E205" s="40">
        <v>70</v>
      </c>
      <c r="F205" s="132"/>
      <c r="G205" s="132"/>
    </row>
    <row r="206" spans="1:7" ht="17.25" customHeight="1">
      <c r="A206" s="40">
        <v>761</v>
      </c>
      <c r="B206" s="40">
        <v>5</v>
      </c>
      <c r="C206" s="40" t="s">
        <v>228</v>
      </c>
      <c r="D206" s="40" t="s">
        <v>363</v>
      </c>
      <c r="E206" s="40">
        <v>519</v>
      </c>
      <c r="F206" s="132"/>
      <c r="G206" s="132"/>
    </row>
    <row r="207" spans="1:7" ht="17.25" customHeight="1">
      <c r="A207" s="40"/>
      <c r="B207" s="207">
        <f>SUM(B205:B206)</f>
        <v>6</v>
      </c>
      <c r="C207" s="207"/>
      <c r="D207" s="207"/>
      <c r="E207" s="207">
        <f>SUM(E205:E206)</f>
        <v>589</v>
      </c>
      <c r="F207" s="132"/>
      <c r="G207" s="132"/>
    </row>
    <row r="208" spans="1:7" ht="17.25" customHeight="1">
      <c r="A208" s="269" t="s">
        <v>217</v>
      </c>
      <c r="B208" s="270"/>
      <c r="C208" s="271"/>
      <c r="D208" s="40"/>
      <c r="E208" s="39"/>
      <c r="F208" s="132"/>
      <c r="G208" s="132"/>
    </row>
    <row r="209" spans="1:7" ht="27" customHeight="1">
      <c r="A209" s="40">
        <v>764</v>
      </c>
      <c r="B209" s="60">
        <v>20</v>
      </c>
      <c r="C209" s="133" t="s">
        <v>346</v>
      </c>
      <c r="D209" s="40" t="s">
        <v>365</v>
      </c>
      <c r="E209" s="40">
        <v>2158</v>
      </c>
      <c r="F209" s="132"/>
      <c r="G209" s="132"/>
    </row>
    <row r="210" spans="1:7" ht="17.25" customHeight="1">
      <c r="A210" s="45">
        <v>762</v>
      </c>
      <c r="B210" s="45">
        <v>8</v>
      </c>
      <c r="C210" s="45" t="s">
        <v>218</v>
      </c>
      <c r="D210" s="40" t="s">
        <v>360</v>
      </c>
      <c r="E210" s="45">
        <v>583</v>
      </c>
      <c r="F210" s="132"/>
      <c r="G210" s="132"/>
    </row>
    <row r="211" spans="1:7" ht="17.25" customHeight="1">
      <c r="A211" s="45">
        <v>763</v>
      </c>
      <c r="B211" s="45">
        <v>2</v>
      </c>
      <c r="C211" s="45" t="s">
        <v>237</v>
      </c>
      <c r="D211" s="40" t="s">
        <v>364</v>
      </c>
      <c r="E211" s="45">
        <v>162</v>
      </c>
      <c r="F211" s="132"/>
      <c r="G211" s="132"/>
    </row>
    <row r="212" spans="1:7" ht="17.25" customHeight="1">
      <c r="A212" s="40"/>
      <c r="B212" s="207">
        <f>SUM(B209:B211)</f>
        <v>30</v>
      </c>
      <c r="C212" s="207"/>
      <c r="D212" s="207"/>
      <c r="E212" s="210">
        <f>SUM(E209:E211)</f>
        <v>2903</v>
      </c>
      <c r="F212" s="132"/>
      <c r="G212" s="132"/>
    </row>
    <row r="213" spans="1:7" ht="17.25" customHeight="1">
      <c r="A213" s="207" t="s">
        <v>14</v>
      </c>
      <c r="B213" s="126">
        <f>B207+B212</f>
        <v>36</v>
      </c>
      <c r="C213" s="126"/>
      <c r="D213" s="126"/>
      <c r="E213" s="126">
        <f>E207+E212</f>
        <v>3492</v>
      </c>
      <c r="F213" s="132"/>
      <c r="G213" s="132"/>
    </row>
    <row r="214" spans="1:7" ht="17.25" customHeight="1">
      <c r="A214" s="210"/>
      <c r="B214" s="127"/>
      <c r="C214" s="128"/>
      <c r="D214" s="126"/>
      <c r="E214" s="126"/>
      <c r="F214" s="132"/>
      <c r="G214" s="132"/>
    </row>
    <row r="215" spans="1:7" ht="26.25" customHeight="1">
      <c r="A215" s="262" t="s">
        <v>420</v>
      </c>
      <c r="B215" s="264"/>
      <c r="C215" s="264"/>
      <c r="D215" s="264"/>
      <c r="E215" s="264"/>
      <c r="F215" s="132"/>
      <c r="G215" s="132"/>
    </row>
    <row r="216" spans="1:7" ht="26.25" customHeight="1">
      <c r="A216" s="40" t="s">
        <v>212</v>
      </c>
      <c r="B216" s="40" t="s">
        <v>213</v>
      </c>
      <c r="C216" s="40" t="s">
        <v>214</v>
      </c>
      <c r="D216" s="40" t="s">
        <v>215</v>
      </c>
      <c r="E216" s="39" t="s">
        <v>216</v>
      </c>
      <c r="F216" s="132"/>
      <c r="G216" s="132"/>
    </row>
    <row r="217" spans="1:7" ht="17.25" customHeight="1">
      <c r="A217" s="269" t="s">
        <v>223</v>
      </c>
      <c r="B217" s="270"/>
      <c r="C217" s="271"/>
      <c r="D217" s="40"/>
      <c r="E217" s="39"/>
      <c r="F217" s="132"/>
      <c r="G217" s="132"/>
    </row>
    <row r="218" spans="1:7" ht="17.25" customHeight="1">
      <c r="A218" s="60">
        <v>434</v>
      </c>
      <c r="B218" s="60">
        <v>5</v>
      </c>
      <c r="C218" s="60" t="s">
        <v>228</v>
      </c>
      <c r="D218" s="91" t="s">
        <v>366</v>
      </c>
      <c r="E218" s="60">
        <v>540</v>
      </c>
      <c r="F218" s="132"/>
      <c r="G218" s="132"/>
    </row>
    <row r="219" spans="1:7" ht="17.25" customHeight="1">
      <c r="A219" s="60">
        <v>434</v>
      </c>
      <c r="B219" s="60">
        <v>1</v>
      </c>
      <c r="C219" s="60" t="s">
        <v>225</v>
      </c>
      <c r="D219" s="45" t="s">
        <v>367</v>
      </c>
      <c r="E219" s="60">
        <v>85</v>
      </c>
      <c r="F219" s="132"/>
      <c r="G219" s="132"/>
    </row>
    <row r="220" spans="1:7" ht="17.25" customHeight="1">
      <c r="A220" s="40"/>
      <c r="B220" s="207">
        <f>SUM(B218:B219)</f>
        <v>6</v>
      </c>
      <c r="C220" s="207"/>
      <c r="D220" s="207"/>
      <c r="E220" s="207">
        <f>SUM(E218:E219)</f>
        <v>625</v>
      </c>
      <c r="F220" s="132"/>
      <c r="G220" s="132"/>
    </row>
    <row r="221" spans="1:7" ht="17.25" customHeight="1">
      <c r="A221" s="269" t="s">
        <v>217</v>
      </c>
      <c r="B221" s="270"/>
      <c r="C221" s="271"/>
      <c r="D221" s="40"/>
      <c r="E221" s="39"/>
      <c r="F221" s="132"/>
      <c r="G221" s="132"/>
    </row>
    <row r="222" spans="1:7" ht="17.25" customHeight="1">
      <c r="A222" s="40">
        <v>436</v>
      </c>
      <c r="B222" s="191">
        <v>1</v>
      </c>
      <c r="C222" s="208" t="s">
        <v>232</v>
      </c>
      <c r="D222" s="191" t="s">
        <v>368</v>
      </c>
      <c r="E222" s="191">
        <v>124</v>
      </c>
      <c r="F222" s="132"/>
      <c r="G222" s="132"/>
    </row>
    <row r="223" spans="1:7" ht="17.25" customHeight="1">
      <c r="A223" s="60">
        <v>435</v>
      </c>
      <c r="B223" s="216">
        <v>1</v>
      </c>
      <c r="C223" s="216" t="s">
        <v>225</v>
      </c>
      <c r="D223" s="106" t="s">
        <v>355</v>
      </c>
      <c r="E223" s="217">
        <v>60</v>
      </c>
      <c r="F223" s="132"/>
      <c r="G223" s="132"/>
    </row>
    <row r="224" spans="1:7" ht="17.25" customHeight="1">
      <c r="A224" s="40">
        <v>435</v>
      </c>
      <c r="B224" s="191">
        <v>5</v>
      </c>
      <c r="C224" s="191" t="s">
        <v>228</v>
      </c>
      <c r="D224" s="106" t="s">
        <v>370</v>
      </c>
      <c r="E224" s="191">
        <v>450</v>
      </c>
      <c r="F224" s="132"/>
      <c r="G224" s="132"/>
    </row>
    <row r="225" spans="1:7" ht="17.25" customHeight="1">
      <c r="A225" s="40">
        <v>435</v>
      </c>
      <c r="B225" s="191">
        <v>2</v>
      </c>
      <c r="C225" s="208" t="s">
        <v>232</v>
      </c>
      <c r="D225" s="191" t="s">
        <v>369</v>
      </c>
      <c r="E225" s="191">
        <v>225</v>
      </c>
      <c r="F225" s="132"/>
      <c r="G225" s="132"/>
    </row>
    <row r="226" spans="1:7" ht="17.25" customHeight="1">
      <c r="A226" s="40"/>
      <c r="B226" s="207">
        <f>SUM(B222:B225)</f>
        <v>9</v>
      </c>
      <c r="C226" s="207"/>
      <c r="D226" s="207"/>
      <c r="E226" s="210">
        <f>SUM(E222:E225)</f>
        <v>859</v>
      </c>
      <c r="F226" s="132"/>
      <c r="G226" s="132"/>
    </row>
    <row r="227" spans="1:7" ht="17.25" customHeight="1">
      <c r="A227" s="207" t="s">
        <v>14</v>
      </c>
      <c r="B227" s="126">
        <f>B220+B226</f>
        <v>15</v>
      </c>
      <c r="C227" s="126"/>
      <c r="D227" s="126"/>
      <c r="E227" s="126">
        <f>E220+E226</f>
        <v>1484</v>
      </c>
      <c r="F227" s="132"/>
      <c r="G227" s="132"/>
    </row>
    <row r="228" spans="1:7" ht="17.25" customHeight="1">
      <c r="A228" s="210"/>
      <c r="B228" s="127"/>
      <c r="C228" s="128"/>
      <c r="D228" s="126"/>
      <c r="E228" s="126"/>
      <c r="F228" s="132"/>
      <c r="G228" s="132"/>
    </row>
    <row r="229" spans="1:7" ht="27" customHeight="1">
      <c r="A229" s="262" t="s">
        <v>421</v>
      </c>
      <c r="B229" s="264"/>
      <c r="C229" s="264"/>
      <c r="D229" s="264"/>
      <c r="E229" s="264"/>
      <c r="F229" s="132"/>
      <c r="G229" s="132"/>
    </row>
    <row r="230" spans="1:7" ht="23.25" customHeight="1">
      <c r="A230" s="40" t="s">
        <v>212</v>
      </c>
      <c r="B230" s="40" t="s">
        <v>213</v>
      </c>
      <c r="C230" s="40" t="s">
        <v>214</v>
      </c>
      <c r="D230" s="40" t="s">
        <v>215</v>
      </c>
      <c r="E230" s="39" t="s">
        <v>216</v>
      </c>
      <c r="F230" s="132"/>
      <c r="G230" s="132"/>
    </row>
    <row r="231" spans="1:7" ht="17.25" customHeight="1">
      <c r="A231" s="269" t="s">
        <v>223</v>
      </c>
      <c r="B231" s="270"/>
      <c r="C231" s="271"/>
      <c r="D231" s="40"/>
      <c r="E231" s="39"/>
      <c r="F231" s="132"/>
      <c r="G231" s="132"/>
    </row>
    <row r="232" spans="1:7" ht="17.25" customHeight="1">
      <c r="A232" s="40">
        <v>1002</v>
      </c>
      <c r="B232" s="40">
        <v>4</v>
      </c>
      <c r="C232" s="40" t="s">
        <v>237</v>
      </c>
      <c r="D232" s="40" t="s">
        <v>371</v>
      </c>
      <c r="E232" s="40">
        <v>426</v>
      </c>
      <c r="F232" s="132"/>
      <c r="G232" s="132"/>
    </row>
    <row r="233" spans="1:7" ht="17.25" customHeight="1">
      <c r="A233" s="40">
        <v>1006</v>
      </c>
      <c r="B233" s="40">
        <v>1</v>
      </c>
      <c r="C233" s="40" t="s">
        <v>218</v>
      </c>
      <c r="D233" s="40" t="s">
        <v>372</v>
      </c>
      <c r="E233" s="40">
        <v>72</v>
      </c>
      <c r="F233" s="132"/>
      <c r="G233" s="132"/>
    </row>
    <row r="234" spans="1:7" ht="17.25" customHeight="1">
      <c r="A234" s="40">
        <v>1007</v>
      </c>
      <c r="B234" s="40">
        <v>2</v>
      </c>
      <c r="C234" s="40" t="s">
        <v>237</v>
      </c>
      <c r="D234" s="40" t="s">
        <v>373</v>
      </c>
      <c r="E234" s="40">
        <v>213</v>
      </c>
      <c r="F234" s="132"/>
      <c r="G234" s="132"/>
    </row>
    <row r="235" spans="1:7" ht="17.25" customHeight="1">
      <c r="A235" s="40"/>
      <c r="B235" s="207">
        <f>SUM(B232:B234)</f>
        <v>7</v>
      </c>
      <c r="C235" s="207"/>
      <c r="D235" s="207"/>
      <c r="E235" s="207">
        <f>SUM(E232:E234)</f>
        <v>711</v>
      </c>
      <c r="F235" s="132"/>
      <c r="G235" s="132"/>
    </row>
    <row r="236" spans="1:7" ht="17.25" customHeight="1">
      <c r="A236" s="269" t="s">
        <v>217</v>
      </c>
      <c r="B236" s="270"/>
      <c r="C236" s="271"/>
      <c r="D236" s="40"/>
      <c r="E236" s="39"/>
      <c r="F236" s="132"/>
      <c r="G236" s="132"/>
    </row>
    <row r="237" spans="1:8" ht="17.25" customHeight="1">
      <c r="A237" s="70">
        <v>1003</v>
      </c>
      <c r="B237" s="91">
        <v>27</v>
      </c>
      <c r="C237" s="70" t="s">
        <v>218</v>
      </c>
      <c r="D237" s="40" t="s">
        <v>374</v>
      </c>
      <c r="E237" s="70">
        <v>2471</v>
      </c>
      <c r="F237" s="132"/>
      <c r="G237" s="141">
        <f>B237+B238+B240+B241</f>
        <v>41</v>
      </c>
      <c r="H237" s="99">
        <f>B237+B238+B240+B241</f>
        <v>41</v>
      </c>
    </row>
    <row r="238" spans="1:8" ht="17.25" customHeight="1">
      <c r="A238" s="70">
        <v>1004</v>
      </c>
      <c r="B238" s="91">
        <v>3</v>
      </c>
      <c r="C238" s="70" t="s">
        <v>218</v>
      </c>
      <c r="D238" s="40" t="s">
        <v>375</v>
      </c>
      <c r="E238" s="70">
        <v>264</v>
      </c>
      <c r="F238" s="132"/>
      <c r="G238" s="132"/>
      <c r="H238" s="99">
        <f>B239+B242</f>
        <v>2</v>
      </c>
    </row>
    <row r="239" spans="1:7" ht="17.25" customHeight="1">
      <c r="A239" s="70">
        <v>1005</v>
      </c>
      <c r="B239" s="91">
        <v>1</v>
      </c>
      <c r="C239" s="70" t="s">
        <v>228</v>
      </c>
      <c r="D239" s="40" t="s">
        <v>355</v>
      </c>
      <c r="E239" s="70">
        <v>100</v>
      </c>
      <c r="F239" s="132"/>
      <c r="G239" s="132"/>
    </row>
    <row r="240" spans="1:7" ht="17.25" customHeight="1">
      <c r="A240" s="70">
        <v>1009</v>
      </c>
      <c r="B240" s="91">
        <v>8</v>
      </c>
      <c r="C240" s="70" t="s">
        <v>218</v>
      </c>
      <c r="D240" s="40" t="s">
        <v>360</v>
      </c>
      <c r="E240" s="70">
        <v>734</v>
      </c>
      <c r="F240" s="132"/>
      <c r="G240" s="132"/>
    </row>
    <row r="241" spans="1:7" ht="17.25" customHeight="1">
      <c r="A241" s="70">
        <v>1010</v>
      </c>
      <c r="B241" s="91">
        <v>3</v>
      </c>
      <c r="C241" s="70" t="s">
        <v>218</v>
      </c>
      <c r="D241" s="40" t="s">
        <v>375</v>
      </c>
      <c r="E241" s="70">
        <v>254</v>
      </c>
      <c r="F241" s="132"/>
      <c r="G241" s="132"/>
    </row>
    <row r="242" spans="1:7" ht="17.25" customHeight="1">
      <c r="A242" s="70">
        <v>1011</v>
      </c>
      <c r="B242" s="91">
        <v>1</v>
      </c>
      <c r="C242" s="70" t="s">
        <v>237</v>
      </c>
      <c r="D242" s="40" t="s">
        <v>355</v>
      </c>
      <c r="E242" s="70">
        <v>100</v>
      </c>
      <c r="F242" s="132"/>
      <c r="G242" s="132"/>
    </row>
    <row r="243" spans="1:7" ht="17.25" customHeight="1">
      <c r="A243" s="40"/>
      <c r="B243" s="207">
        <f>SUM(B237:B242)</f>
        <v>43</v>
      </c>
      <c r="C243" s="207"/>
      <c r="D243" s="207"/>
      <c r="E243" s="210">
        <f>SUM(E237:E242)</f>
        <v>3923</v>
      </c>
      <c r="F243" s="132"/>
      <c r="G243" s="132"/>
    </row>
    <row r="244" spans="1:7" ht="17.25" customHeight="1">
      <c r="A244" s="269" t="s">
        <v>230</v>
      </c>
      <c r="B244" s="270"/>
      <c r="C244" s="271"/>
      <c r="D244" s="207"/>
      <c r="E244" s="210"/>
      <c r="F244" s="132"/>
      <c r="G244" s="132"/>
    </row>
    <row r="245" spans="1:7" ht="17.25" customHeight="1">
      <c r="A245" s="70">
        <v>1008</v>
      </c>
      <c r="B245" s="91">
        <v>1</v>
      </c>
      <c r="C245" s="70" t="s">
        <v>218</v>
      </c>
      <c r="D245" s="40" t="s">
        <v>355</v>
      </c>
      <c r="E245" s="70">
        <v>45</v>
      </c>
      <c r="F245" s="132"/>
      <c r="G245" s="132"/>
    </row>
    <row r="246" spans="1:7" ht="17.25" customHeight="1">
      <c r="A246" s="40"/>
      <c r="B246" s="207">
        <f>B245</f>
        <v>1</v>
      </c>
      <c r="C246" s="207"/>
      <c r="D246" s="207"/>
      <c r="E246" s="207">
        <f>E245</f>
        <v>45</v>
      </c>
      <c r="F246" s="132"/>
      <c r="G246" s="132"/>
    </row>
    <row r="247" spans="1:7" ht="17.25" customHeight="1">
      <c r="A247" s="207" t="s">
        <v>14</v>
      </c>
      <c r="B247" s="126">
        <f>B235+B243+B246</f>
        <v>51</v>
      </c>
      <c r="C247" s="126"/>
      <c r="D247" s="126"/>
      <c r="E247" s="126">
        <f>E235+E243+E246</f>
        <v>4679</v>
      </c>
      <c r="F247" s="132"/>
      <c r="G247" s="132"/>
    </row>
    <row r="248" spans="1:7" ht="17.25" customHeight="1">
      <c r="A248" s="210"/>
      <c r="B248" s="127"/>
      <c r="C248" s="128"/>
      <c r="D248" s="126"/>
      <c r="E248" s="126"/>
      <c r="F248" s="132"/>
      <c r="G248" s="132"/>
    </row>
    <row r="249" spans="1:7" ht="25.5" customHeight="1">
      <c r="A249" s="262" t="s">
        <v>422</v>
      </c>
      <c r="B249" s="264"/>
      <c r="C249" s="264"/>
      <c r="D249" s="264"/>
      <c r="E249" s="264"/>
      <c r="F249" s="132"/>
      <c r="G249" s="132"/>
    </row>
    <row r="250" spans="1:7" ht="22.5" customHeight="1">
      <c r="A250" s="40" t="s">
        <v>212</v>
      </c>
      <c r="B250" s="40" t="s">
        <v>213</v>
      </c>
      <c r="C250" s="40" t="s">
        <v>214</v>
      </c>
      <c r="D250" s="40" t="s">
        <v>215</v>
      </c>
      <c r="E250" s="39" t="s">
        <v>216</v>
      </c>
      <c r="F250" s="132"/>
      <c r="G250" s="132"/>
    </row>
    <row r="251" spans="1:7" ht="17.25" customHeight="1">
      <c r="A251" s="269" t="s">
        <v>223</v>
      </c>
      <c r="B251" s="270"/>
      <c r="C251" s="271"/>
      <c r="D251" s="40"/>
      <c r="E251" s="39"/>
      <c r="F251" s="132"/>
      <c r="G251" s="132"/>
    </row>
    <row r="252" spans="1:7" ht="17.25" customHeight="1">
      <c r="A252" s="70" t="s">
        <v>402</v>
      </c>
      <c r="B252" s="91">
        <v>5</v>
      </c>
      <c r="C252" s="91" t="s">
        <v>224</v>
      </c>
      <c r="D252" s="91" t="s">
        <v>392</v>
      </c>
      <c r="E252" s="70">
        <v>303</v>
      </c>
      <c r="F252" s="132"/>
      <c r="G252" s="132"/>
    </row>
    <row r="253" spans="1:7" ht="17.25" customHeight="1">
      <c r="A253" s="40" t="s">
        <v>403</v>
      </c>
      <c r="B253" s="40">
        <v>12</v>
      </c>
      <c r="C253" s="40" t="s">
        <v>225</v>
      </c>
      <c r="D253" s="40" t="s">
        <v>393</v>
      </c>
      <c r="E253" s="40">
        <v>941</v>
      </c>
      <c r="F253" s="132"/>
      <c r="G253" s="132"/>
    </row>
    <row r="254" spans="1:7" ht="17.25" customHeight="1">
      <c r="A254" s="40" t="s">
        <v>404</v>
      </c>
      <c r="B254" s="40">
        <v>4</v>
      </c>
      <c r="C254" s="40" t="s">
        <v>228</v>
      </c>
      <c r="D254" s="40" t="s">
        <v>399</v>
      </c>
      <c r="E254" s="40">
        <v>422</v>
      </c>
      <c r="F254" s="132"/>
      <c r="G254" s="132"/>
    </row>
    <row r="255" spans="1:7" ht="17.25" customHeight="1">
      <c r="A255" s="40"/>
      <c r="B255" s="207">
        <f>SUM(B252:B254)</f>
        <v>21</v>
      </c>
      <c r="C255" s="207"/>
      <c r="D255" s="207"/>
      <c r="E255" s="207">
        <f>SUM(E252:E254)</f>
        <v>1666</v>
      </c>
      <c r="F255" s="132"/>
      <c r="G255" s="132"/>
    </row>
    <row r="256" spans="1:7" ht="17.25" customHeight="1">
      <c r="A256" s="269" t="s">
        <v>217</v>
      </c>
      <c r="B256" s="270"/>
      <c r="C256" s="271"/>
      <c r="D256" s="40"/>
      <c r="E256" s="39"/>
      <c r="F256" s="132"/>
      <c r="G256" s="132"/>
    </row>
    <row r="257" spans="1:7" ht="17.25" customHeight="1">
      <c r="A257" s="70" t="s">
        <v>405</v>
      </c>
      <c r="B257" s="218">
        <v>11</v>
      </c>
      <c r="C257" s="107" t="s">
        <v>224</v>
      </c>
      <c r="D257" s="218" t="s">
        <v>394</v>
      </c>
      <c r="E257" s="107">
        <v>562</v>
      </c>
      <c r="F257" s="132"/>
      <c r="G257" s="132"/>
    </row>
    <row r="258" spans="1:7" ht="17.25" customHeight="1">
      <c r="A258" s="40" t="s">
        <v>410</v>
      </c>
      <c r="B258" s="106">
        <v>4</v>
      </c>
      <c r="C258" s="208" t="s">
        <v>241</v>
      </c>
      <c r="D258" s="106" t="s">
        <v>395</v>
      </c>
      <c r="E258" s="106">
        <v>882</v>
      </c>
      <c r="F258" s="132"/>
      <c r="G258" s="132"/>
    </row>
    <row r="259" spans="1:7" ht="17.25" customHeight="1">
      <c r="A259" s="40" t="s">
        <v>407</v>
      </c>
      <c r="B259" s="106">
        <v>3</v>
      </c>
      <c r="C259" s="208" t="s">
        <v>244</v>
      </c>
      <c r="D259" s="106" t="s">
        <v>396</v>
      </c>
      <c r="E259" s="106">
        <v>865</v>
      </c>
      <c r="F259" s="132"/>
      <c r="G259" s="132"/>
    </row>
    <row r="260" spans="1:7" ht="17.25" customHeight="1">
      <c r="A260" s="40" t="s">
        <v>408</v>
      </c>
      <c r="B260" s="106">
        <v>2</v>
      </c>
      <c r="C260" s="106" t="s">
        <v>224</v>
      </c>
      <c r="D260" s="106" t="s">
        <v>400</v>
      </c>
      <c r="E260" s="106">
        <v>105</v>
      </c>
      <c r="F260" s="132"/>
      <c r="G260" s="132"/>
    </row>
    <row r="261" spans="1:7" ht="17.25" customHeight="1">
      <c r="A261" s="40" t="s">
        <v>409</v>
      </c>
      <c r="B261" s="106">
        <v>2</v>
      </c>
      <c r="C261" s="106" t="s">
        <v>225</v>
      </c>
      <c r="D261" s="106" t="s">
        <v>401</v>
      </c>
      <c r="E261" s="106">
        <v>122</v>
      </c>
      <c r="F261" s="132"/>
      <c r="G261" s="132"/>
    </row>
    <row r="262" spans="1:7" ht="17.25" customHeight="1">
      <c r="A262" s="40"/>
      <c r="B262" s="207">
        <f>SUM(B257:B261)</f>
        <v>22</v>
      </c>
      <c r="C262" s="207"/>
      <c r="D262" s="207"/>
      <c r="E262" s="210">
        <f>SUM(E257:E261)</f>
        <v>2536</v>
      </c>
      <c r="F262" s="132"/>
      <c r="G262" s="132"/>
    </row>
    <row r="263" spans="1:7" ht="17.25" customHeight="1">
      <c r="A263" s="269" t="s">
        <v>229</v>
      </c>
      <c r="B263" s="270"/>
      <c r="C263" s="271"/>
      <c r="D263" s="207"/>
      <c r="E263" s="210"/>
      <c r="F263" s="132"/>
      <c r="G263" s="132"/>
    </row>
    <row r="264" spans="1:7" ht="17.25" customHeight="1">
      <c r="A264" s="40" t="s">
        <v>406</v>
      </c>
      <c r="B264" s="60">
        <v>3</v>
      </c>
      <c r="C264" s="60" t="s">
        <v>225</v>
      </c>
      <c r="D264" s="60" t="s">
        <v>398</v>
      </c>
      <c r="E264" s="40">
        <v>164</v>
      </c>
      <c r="F264" s="132"/>
      <c r="G264" s="132"/>
    </row>
    <row r="265" spans="1:7" ht="17.25" customHeight="1">
      <c r="A265" s="40"/>
      <c r="B265" s="207">
        <f>B264</f>
        <v>3</v>
      </c>
      <c r="C265" s="207"/>
      <c r="D265" s="207"/>
      <c r="E265" s="207">
        <f>E264</f>
        <v>164</v>
      </c>
      <c r="F265" s="132"/>
      <c r="G265" s="132"/>
    </row>
    <row r="266" spans="1:7" ht="17.25" customHeight="1">
      <c r="A266" s="269" t="s">
        <v>230</v>
      </c>
      <c r="B266" s="270"/>
      <c r="C266" s="271"/>
      <c r="D266" s="207"/>
      <c r="E266" s="207"/>
      <c r="F266" s="132"/>
      <c r="G266" s="132"/>
    </row>
    <row r="267" spans="1:7" ht="17.25" customHeight="1">
      <c r="A267" s="40" t="s">
        <v>411</v>
      </c>
      <c r="B267" s="40">
        <v>1</v>
      </c>
      <c r="C267" s="40" t="s">
        <v>225</v>
      </c>
      <c r="D267" s="40" t="s">
        <v>397</v>
      </c>
      <c r="E267" s="40">
        <v>64</v>
      </c>
      <c r="F267" s="132"/>
      <c r="G267" s="132"/>
    </row>
    <row r="268" spans="1:7" ht="17.25" customHeight="1">
      <c r="A268" s="209"/>
      <c r="B268" s="143">
        <f>B267</f>
        <v>1</v>
      </c>
      <c r="C268" s="143"/>
      <c r="D268" s="143"/>
      <c r="E268" s="143">
        <f>E267</f>
        <v>64</v>
      </c>
      <c r="F268" s="132"/>
      <c r="G268" s="132"/>
    </row>
    <row r="269" spans="1:7" ht="17.25" customHeight="1">
      <c r="A269" s="207" t="s">
        <v>14</v>
      </c>
      <c r="B269" s="126">
        <f>B255+B262+B265+B268</f>
        <v>47</v>
      </c>
      <c r="C269" s="126"/>
      <c r="D269" s="126"/>
      <c r="E269" s="126">
        <f>E255+E262+E265+E268</f>
        <v>4430</v>
      </c>
      <c r="F269" s="132"/>
      <c r="G269" s="132"/>
    </row>
    <row r="270" spans="1:7" ht="17.25" customHeight="1">
      <c r="A270" s="210"/>
      <c r="B270" s="127"/>
      <c r="C270" s="128"/>
      <c r="D270" s="126"/>
      <c r="E270" s="126"/>
      <c r="F270" s="132"/>
      <c r="G270" s="132"/>
    </row>
    <row r="271" spans="1:7" ht="32.25" customHeight="1">
      <c r="A271" s="262" t="s">
        <v>638</v>
      </c>
      <c r="B271" s="264"/>
      <c r="C271" s="264"/>
      <c r="D271" s="264"/>
      <c r="E271" s="264"/>
      <c r="F271" s="132"/>
      <c r="G271" s="132"/>
    </row>
    <row r="272" spans="1:7" ht="24" customHeight="1">
      <c r="A272" s="40" t="s">
        <v>212</v>
      </c>
      <c r="B272" s="40" t="s">
        <v>213</v>
      </c>
      <c r="C272" s="40" t="s">
        <v>214</v>
      </c>
      <c r="D272" s="40" t="s">
        <v>215</v>
      </c>
      <c r="E272" s="39" t="s">
        <v>216</v>
      </c>
      <c r="F272" s="132"/>
      <c r="G272" s="132"/>
    </row>
    <row r="273" spans="1:7" ht="17.25" customHeight="1">
      <c r="A273" s="269" t="s">
        <v>223</v>
      </c>
      <c r="B273" s="270"/>
      <c r="C273" s="271"/>
      <c r="D273" s="40"/>
      <c r="E273" s="39"/>
      <c r="F273" s="132"/>
      <c r="G273" s="132"/>
    </row>
    <row r="274" spans="1:7" ht="17.25" customHeight="1">
      <c r="A274" s="40">
        <v>904</v>
      </c>
      <c r="B274" s="60">
        <v>2</v>
      </c>
      <c r="C274" s="60" t="s">
        <v>224</v>
      </c>
      <c r="D274" s="40" t="s">
        <v>423</v>
      </c>
      <c r="E274" s="40">
        <v>119</v>
      </c>
      <c r="F274" s="132"/>
      <c r="G274" s="132"/>
    </row>
    <row r="275" spans="1:7" ht="30" customHeight="1">
      <c r="A275" s="40">
        <v>905</v>
      </c>
      <c r="B275" s="40">
        <v>24</v>
      </c>
      <c r="C275" s="40" t="s">
        <v>225</v>
      </c>
      <c r="D275" s="40" t="s">
        <v>424</v>
      </c>
      <c r="E275" s="40">
        <v>1820</v>
      </c>
      <c r="F275" s="132"/>
      <c r="G275" s="132"/>
    </row>
    <row r="276" spans="1:7" ht="17.25" customHeight="1">
      <c r="A276" s="40">
        <v>906</v>
      </c>
      <c r="B276" s="60">
        <v>5</v>
      </c>
      <c r="C276" s="60" t="s">
        <v>228</v>
      </c>
      <c r="D276" s="40" t="s">
        <v>425</v>
      </c>
      <c r="E276" s="40">
        <v>537</v>
      </c>
      <c r="F276" s="132"/>
      <c r="G276" s="132"/>
    </row>
    <row r="277" spans="1:7" ht="17.25" customHeight="1">
      <c r="A277" s="40"/>
      <c r="B277" s="207">
        <f>SUM(B274:B276)</f>
        <v>31</v>
      </c>
      <c r="C277" s="207"/>
      <c r="D277" s="207"/>
      <c r="E277" s="207">
        <f>SUM(E274:E276)</f>
        <v>2476</v>
      </c>
      <c r="F277" s="132"/>
      <c r="G277" s="132"/>
    </row>
    <row r="278" spans="1:7" ht="17.25" customHeight="1">
      <c r="A278" s="269" t="s">
        <v>217</v>
      </c>
      <c r="B278" s="270"/>
      <c r="C278" s="271"/>
      <c r="D278" s="40"/>
      <c r="E278" s="39"/>
      <c r="F278" s="132"/>
      <c r="G278" s="132"/>
    </row>
    <row r="279" spans="1:7" ht="17.25" customHeight="1">
      <c r="A279" s="40">
        <v>907</v>
      </c>
      <c r="B279" s="60">
        <v>23</v>
      </c>
      <c r="C279" s="60" t="s">
        <v>225</v>
      </c>
      <c r="D279" s="106" t="s">
        <v>426</v>
      </c>
      <c r="E279" s="40">
        <v>1238</v>
      </c>
      <c r="F279" s="132"/>
      <c r="G279" s="132"/>
    </row>
    <row r="280" spans="1:7" ht="17.25" customHeight="1">
      <c r="A280" s="40">
        <v>908</v>
      </c>
      <c r="B280" s="40">
        <v>17</v>
      </c>
      <c r="C280" s="40" t="s">
        <v>228</v>
      </c>
      <c r="D280" s="106" t="s">
        <v>427</v>
      </c>
      <c r="E280" s="40">
        <v>1399</v>
      </c>
      <c r="F280" s="132"/>
      <c r="G280" s="132"/>
    </row>
    <row r="281" spans="1:7" ht="17.25" customHeight="1">
      <c r="A281" s="40"/>
      <c r="B281" s="207">
        <f>SUM(B279:B280)</f>
        <v>40</v>
      </c>
      <c r="C281" s="207"/>
      <c r="D281" s="207"/>
      <c r="E281" s="210">
        <f>SUM(E279:E280)</f>
        <v>2637</v>
      </c>
      <c r="F281" s="132"/>
      <c r="G281" s="132"/>
    </row>
    <row r="282" spans="1:7" ht="17.25" customHeight="1">
      <c r="A282" s="207" t="s">
        <v>14</v>
      </c>
      <c r="B282" s="126">
        <f>B277+B281</f>
        <v>71</v>
      </c>
      <c r="C282" s="126"/>
      <c r="D282" s="126"/>
      <c r="E282" s="126">
        <f>E277+E281</f>
        <v>5113</v>
      </c>
      <c r="F282" s="132"/>
      <c r="G282" s="132"/>
    </row>
    <row r="283" spans="1:7" ht="17.25" customHeight="1">
      <c r="A283" s="210"/>
      <c r="B283" s="127"/>
      <c r="C283" s="128"/>
      <c r="D283" s="126"/>
      <c r="E283" s="126"/>
      <c r="F283" s="132"/>
      <c r="G283" s="132"/>
    </row>
    <row r="284" spans="1:7" ht="26.25" customHeight="1">
      <c r="A284" s="262" t="s">
        <v>639</v>
      </c>
      <c r="B284" s="264"/>
      <c r="C284" s="264"/>
      <c r="D284" s="264"/>
      <c r="E284" s="264"/>
      <c r="F284" s="132"/>
      <c r="G284" s="132"/>
    </row>
    <row r="285" spans="1:7" ht="26.25" customHeight="1">
      <c r="A285" s="40" t="s">
        <v>212</v>
      </c>
      <c r="B285" s="40" t="s">
        <v>213</v>
      </c>
      <c r="C285" s="40" t="s">
        <v>214</v>
      </c>
      <c r="D285" s="40" t="s">
        <v>215</v>
      </c>
      <c r="E285" s="39" t="s">
        <v>216</v>
      </c>
      <c r="F285" s="132"/>
      <c r="G285" s="132"/>
    </row>
    <row r="286" spans="1:7" ht="17.25" customHeight="1">
      <c r="A286" s="269" t="s">
        <v>223</v>
      </c>
      <c r="B286" s="270"/>
      <c r="C286" s="271"/>
      <c r="D286" s="40"/>
      <c r="E286" s="39"/>
      <c r="F286" s="132"/>
      <c r="G286" s="132"/>
    </row>
    <row r="287" spans="1:7" ht="30.75" customHeight="1">
      <c r="A287" s="70">
        <v>1401</v>
      </c>
      <c r="B287" s="91">
        <v>25</v>
      </c>
      <c r="C287" s="91" t="s">
        <v>224</v>
      </c>
      <c r="D287" s="70" t="s">
        <v>432</v>
      </c>
      <c r="E287" s="70">
        <v>1516</v>
      </c>
      <c r="F287" s="132"/>
      <c r="G287" s="132"/>
    </row>
    <row r="288" spans="1:7" ht="17.25" customHeight="1">
      <c r="A288" s="40"/>
      <c r="B288" s="207">
        <f>SUM(B287:B287)</f>
        <v>25</v>
      </c>
      <c r="C288" s="207"/>
      <c r="D288" s="207"/>
      <c r="E288" s="207">
        <f>SUM(E287:E287)</f>
        <v>1516</v>
      </c>
      <c r="F288" s="132"/>
      <c r="G288" s="132"/>
    </row>
    <row r="289" spans="1:7" ht="17.25" customHeight="1">
      <c r="A289" s="269" t="s">
        <v>217</v>
      </c>
      <c r="B289" s="270"/>
      <c r="C289" s="271"/>
      <c r="D289" s="40"/>
      <c r="E289" s="39"/>
      <c r="F289" s="132"/>
      <c r="G289" s="132"/>
    </row>
    <row r="290" spans="1:7" ht="17.25" customHeight="1">
      <c r="A290" s="70">
        <v>1402</v>
      </c>
      <c r="B290" s="91">
        <v>25</v>
      </c>
      <c r="C290" s="91" t="s">
        <v>224</v>
      </c>
      <c r="D290" s="70" t="s">
        <v>433</v>
      </c>
      <c r="E290" s="70">
        <v>1525</v>
      </c>
      <c r="F290" s="132"/>
      <c r="G290" s="132"/>
    </row>
    <row r="291" spans="1:7" ht="17.25" customHeight="1">
      <c r="A291" s="70">
        <v>1403</v>
      </c>
      <c r="B291" s="91">
        <v>25</v>
      </c>
      <c r="C291" s="91" t="s">
        <v>224</v>
      </c>
      <c r="D291" s="91" t="s">
        <v>434</v>
      </c>
      <c r="E291" s="70">
        <v>1525</v>
      </c>
      <c r="F291" s="132"/>
      <c r="G291" s="132"/>
    </row>
    <row r="292" spans="1:7" ht="17.25" customHeight="1">
      <c r="A292" s="70">
        <v>1404</v>
      </c>
      <c r="B292" s="91">
        <v>25</v>
      </c>
      <c r="C292" s="91" t="s">
        <v>224</v>
      </c>
      <c r="D292" s="91" t="s">
        <v>435</v>
      </c>
      <c r="E292" s="40">
        <v>1525</v>
      </c>
      <c r="F292" s="132"/>
      <c r="G292" s="132"/>
    </row>
    <row r="293" spans="1:7" ht="17.25" customHeight="1">
      <c r="A293" s="70">
        <v>1405</v>
      </c>
      <c r="B293" s="91">
        <v>25</v>
      </c>
      <c r="C293" s="91" t="s">
        <v>224</v>
      </c>
      <c r="D293" s="91" t="s">
        <v>436</v>
      </c>
      <c r="E293" s="40">
        <v>1525</v>
      </c>
      <c r="F293" s="132"/>
      <c r="G293" s="132"/>
    </row>
    <row r="294" spans="1:7" ht="17.25" customHeight="1">
      <c r="A294" s="40">
        <v>1406</v>
      </c>
      <c r="B294" s="60">
        <v>24</v>
      </c>
      <c r="C294" s="133" t="s">
        <v>437</v>
      </c>
      <c r="D294" s="40" t="s">
        <v>438</v>
      </c>
      <c r="E294" s="40">
        <v>2776</v>
      </c>
      <c r="F294" s="132"/>
      <c r="G294" s="132"/>
    </row>
    <row r="295" spans="1:7" ht="17.25" customHeight="1">
      <c r="A295" s="40"/>
      <c r="B295" s="207">
        <f>SUM(B290:B294)</f>
        <v>124</v>
      </c>
      <c r="C295" s="207"/>
      <c r="D295" s="207"/>
      <c r="E295" s="207">
        <f>SUM(E290:E294)</f>
        <v>8876</v>
      </c>
      <c r="F295" s="132"/>
      <c r="G295" s="132"/>
    </row>
    <row r="296" spans="1:7" ht="17.25" customHeight="1">
      <c r="A296" s="207" t="s">
        <v>14</v>
      </c>
      <c r="B296" s="126">
        <f>B288+B295</f>
        <v>149</v>
      </c>
      <c r="C296" s="126"/>
      <c r="D296" s="126"/>
      <c r="E296" s="126">
        <f>E288+E295</f>
        <v>10392</v>
      </c>
      <c r="F296" s="132"/>
      <c r="G296" s="132"/>
    </row>
    <row r="297" spans="1:7" ht="17.25" customHeight="1">
      <c r="A297" s="210"/>
      <c r="B297" s="127"/>
      <c r="C297" s="128"/>
      <c r="D297" s="126"/>
      <c r="E297" s="126"/>
      <c r="F297" s="132"/>
      <c r="G297" s="132"/>
    </row>
    <row r="298" spans="1:7" ht="26.25" customHeight="1">
      <c r="A298" s="262" t="s">
        <v>640</v>
      </c>
      <c r="B298" s="264"/>
      <c r="C298" s="264"/>
      <c r="D298" s="264"/>
      <c r="E298" s="264"/>
      <c r="F298" s="132"/>
      <c r="G298" s="132"/>
    </row>
    <row r="299" spans="1:7" ht="23.25" customHeight="1">
      <c r="A299" s="40" t="s">
        <v>212</v>
      </c>
      <c r="B299" s="40" t="s">
        <v>213</v>
      </c>
      <c r="C299" s="40" t="s">
        <v>214</v>
      </c>
      <c r="D299" s="40" t="s">
        <v>215</v>
      </c>
      <c r="E299" s="39" t="s">
        <v>216</v>
      </c>
      <c r="F299" s="132"/>
      <c r="G299" s="132"/>
    </row>
    <row r="300" spans="1:7" ht="17.25" customHeight="1">
      <c r="A300" s="269" t="s">
        <v>223</v>
      </c>
      <c r="B300" s="270"/>
      <c r="C300" s="271"/>
      <c r="D300" s="40"/>
      <c r="E300" s="39"/>
      <c r="F300" s="132"/>
      <c r="G300" s="132"/>
    </row>
    <row r="301" spans="1:7" ht="17.25" customHeight="1">
      <c r="A301" s="70">
        <v>765</v>
      </c>
      <c r="B301" s="40">
        <v>1</v>
      </c>
      <c r="C301" s="40" t="s">
        <v>224</v>
      </c>
      <c r="D301" s="106" t="s">
        <v>440</v>
      </c>
      <c r="E301" s="106">
        <v>48</v>
      </c>
      <c r="F301" s="132"/>
      <c r="G301" s="132"/>
    </row>
    <row r="302" spans="1:7" ht="17.25" customHeight="1">
      <c r="A302" s="40">
        <v>766</v>
      </c>
      <c r="B302" s="40">
        <v>6</v>
      </c>
      <c r="C302" s="40" t="s">
        <v>225</v>
      </c>
      <c r="D302" s="106" t="s">
        <v>441</v>
      </c>
      <c r="E302" s="106">
        <v>446</v>
      </c>
      <c r="F302" s="132"/>
      <c r="G302" s="132"/>
    </row>
    <row r="303" spans="1:7" ht="28.5" customHeight="1">
      <c r="A303" s="40">
        <v>767</v>
      </c>
      <c r="B303" s="40">
        <v>20</v>
      </c>
      <c r="C303" s="40" t="s">
        <v>228</v>
      </c>
      <c r="D303" s="106" t="s">
        <v>443</v>
      </c>
      <c r="E303" s="106">
        <v>2160</v>
      </c>
      <c r="F303" s="132"/>
      <c r="G303" s="132"/>
    </row>
    <row r="304" spans="1:7" ht="17.25" customHeight="1">
      <c r="A304" s="40"/>
      <c r="B304" s="207">
        <f>SUM(B301:B303)</f>
        <v>27</v>
      </c>
      <c r="C304" s="207"/>
      <c r="D304" s="207"/>
      <c r="E304" s="207">
        <f>SUM(E301:E303)</f>
        <v>2654</v>
      </c>
      <c r="F304" s="132"/>
      <c r="G304" s="132"/>
    </row>
    <row r="305" spans="1:7" ht="17.25" customHeight="1">
      <c r="A305" s="269" t="s">
        <v>217</v>
      </c>
      <c r="B305" s="270"/>
      <c r="C305" s="271"/>
      <c r="D305" s="40"/>
      <c r="E305" s="39"/>
      <c r="F305" s="132"/>
      <c r="G305" s="132"/>
    </row>
    <row r="306" spans="1:7" ht="17.25" customHeight="1">
      <c r="A306" s="45">
        <v>768</v>
      </c>
      <c r="B306" s="45">
        <v>8</v>
      </c>
      <c r="C306" s="45" t="s">
        <v>218</v>
      </c>
      <c r="D306" s="105" t="s">
        <v>291</v>
      </c>
      <c r="E306" s="105">
        <v>583</v>
      </c>
      <c r="F306" s="132"/>
      <c r="G306" s="132"/>
    </row>
    <row r="307" spans="1:7" ht="17.25" customHeight="1">
      <c r="A307" s="45">
        <v>769</v>
      </c>
      <c r="B307" s="45">
        <v>4</v>
      </c>
      <c r="C307" s="45" t="s">
        <v>237</v>
      </c>
      <c r="D307" s="105" t="s">
        <v>442</v>
      </c>
      <c r="E307" s="105">
        <v>290</v>
      </c>
      <c r="F307" s="132"/>
      <c r="G307" s="132"/>
    </row>
    <row r="308" spans="1:7" ht="17.25" customHeight="1">
      <c r="A308" s="40"/>
      <c r="B308" s="207">
        <f>SUM(B306:B307)</f>
        <v>12</v>
      </c>
      <c r="C308" s="207"/>
      <c r="D308" s="207"/>
      <c r="E308" s="207">
        <f>SUM(E306:E307)</f>
        <v>873</v>
      </c>
      <c r="F308" s="132"/>
      <c r="G308" s="132"/>
    </row>
    <row r="309" spans="1:7" ht="17.25" customHeight="1">
      <c r="A309" s="207" t="s">
        <v>14</v>
      </c>
      <c r="B309" s="126">
        <f>B304+B308</f>
        <v>39</v>
      </c>
      <c r="C309" s="126"/>
      <c r="D309" s="126"/>
      <c r="E309" s="126">
        <f>E304+E308</f>
        <v>3527</v>
      </c>
      <c r="F309" s="132"/>
      <c r="G309" s="132"/>
    </row>
    <row r="310" spans="1:7" ht="17.25" customHeight="1">
      <c r="A310" s="210"/>
      <c r="B310" s="127"/>
      <c r="C310" s="128"/>
      <c r="D310" s="126"/>
      <c r="E310" s="126"/>
      <c r="F310" s="132"/>
      <c r="G310" s="132"/>
    </row>
    <row r="311" spans="1:7" ht="34.5" customHeight="1">
      <c r="A311" s="262" t="s">
        <v>447</v>
      </c>
      <c r="B311" s="264"/>
      <c r="C311" s="264"/>
      <c r="D311" s="264"/>
      <c r="E311" s="264"/>
      <c r="F311" s="132"/>
      <c r="G311" s="132"/>
    </row>
    <row r="312" spans="1:7" ht="26.25" customHeight="1">
      <c r="A312" s="40" t="s">
        <v>212</v>
      </c>
      <c r="B312" s="40" t="s">
        <v>213</v>
      </c>
      <c r="C312" s="40" t="s">
        <v>214</v>
      </c>
      <c r="D312" s="40" t="s">
        <v>215</v>
      </c>
      <c r="E312" s="39" t="s">
        <v>216</v>
      </c>
      <c r="F312" s="132"/>
      <c r="G312" s="132"/>
    </row>
    <row r="313" spans="1:7" ht="17.25" customHeight="1">
      <c r="A313" s="269" t="s">
        <v>223</v>
      </c>
      <c r="B313" s="270"/>
      <c r="C313" s="271"/>
      <c r="D313" s="40"/>
      <c r="E313" s="39"/>
      <c r="F313" s="132"/>
      <c r="G313" s="132"/>
    </row>
    <row r="314" spans="1:7" ht="18" customHeight="1">
      <c r="A314" s="40">
        <v>1012</v>
      </c>
      <c r="B314" s="186">
        <v>1</v>
      </c>
      <c r="C314" s="186" t="s">
        <v>236</v>
      </c>
      <c r="D314" s="186" t="s">
        <v>261</v>
      </c>
      <c r="E314" s="106">
        <v>56</v>
      </c>
      <c r="F314" s="132"/>
      <c r="G314" s="132"/>
    </row>
    <row r="315" spans="1:7" ht="17.25" customHeight="1">
      <c r="A315" s="219">
        <v>1013</v>
      </c>
      <c r="B315" s="187">
        <v>1</v>
      </c>
      <c r="C315" s="187" t="s">
        <v>218</v>
      </c>
      <c r="D315" s="40" t="s">
        <v>444</v>
      </c>
      <c r="E315" s="187">
        <v>72</v>
      </c>
      <c r="F315" s="132"/>
      <c r="G315" s="132"/>
    </row>
    <row r="316" spans="1:7" ht="17.25" customHeight="1">
      <c r="A316" s="219">
        <v>1014</v>
      </c>
      <c r="B316" s="187">
        <v>5</v>
      </c>
      <c r="C316" s="187" t="s">
        <v>237</v>
      </c>
      <c r="D316" s="40" t="s">
        <v>445</v>
      </c>
      <c r="E316" s="187">
        <v>528</v>
      </c>
      <c r="F316" s="132"/>
      <c r="G316" s="132"/>
    </row>
    <row r="317" spans="1:7" ht="17.25" customHeight="1">
      <c r="A317" s="40"/>
      <c r="B317" s="207">
        <f>SUM(B314:B316)</f>
        <v>7</v>
      </c>
      <c r="C317" s="207"/>
      <c r="D317" s="207"/>
      <c r="E317" s="207">
        <f>SUM(E314:E316)</f>
        <v>656</v>
      </c>
      <c r="F317" s="132"/>
      <c r="G317" s="132"/>
    </row>
    <row r="318" spans="1:7" ht="17.25" customHeight="1">
      <c r="A318" s="269" t="s">
        <v>217</v>
      </c>
      <c r="B318" s="270"/>
      <c r="C318" s="271"/>
      <c r="D318" s="40"/>
      <c r="E318" s="39"/>
      <c r="F318" s="132"/>
      <c r="G318" s="132"/>
    </row>
    <row r="319" spans="1:7" ht="17.25" customHeight="1">
      <c r="A319" s="40">
        <v>1020</v>
      </c>
      <c r="B319" s="60">
        <v>10</v>
      </c>
      <c r="C319" s="208" t="s">
        <v>448</v>
      </c>
      <c r="D319" s="60" t="s">
        <v>449</v>
      </c>
      <c r="E319" s="60">
        <v>1765</v>
      </c>
      <c r="F319" s="132"/>
      <c r="G319" s="132"/>
    </row>
    <row r="320" spans="1:7" ht="17.25" customHeight="1">
      <c r="A320" s="70">
        <v>1016</v>
      </c>
      <c r="B320" s="91">
        <v>2</v>
      </c>
      <c r="C320" s="70" t="s">
        <v>236</v>
      </c>
      <c r="D320" s="106" t="s">
        <v>305</v>
      </c>
      <c r="E320" s="107">
        <v>84</v>
      </c>
      <c r="F320" s="132"/>
      <c r="G320" s="132"/>
    </row>
    <row r="321" spans="1:7" ht="17.25" customHeight="1">
      <c r="A321" s="70">
        <v>1017</v>
      </c>
      <c r="B321" s="91">
        <v>19</v>
      </c>
      <c r="C321" s="70" t="s">
        <v>218</v>
      </c>
      <c r="D321" s="106" t="s">
        <v>446</v>
      </c>
      <c r="E321" s="107">
        <v>1705</v>
      </c>
      <c r="F321" s="132"/>
      <c r="G321" s="132"/>
    </row>
    <row r="322" spans="1:7" ht="17.25" customHeight="1">
      <c r="A322" s="70">
        <v>1018</v>
      </c>
      <c r="B322" s="91">
        <v>3</v>
      </c>
      <c r="C322" s="70" t="s">
        <v>218</v>
      </c>
      <c r="D322" s="106" t="s">
        <v>240</v>
      </c>
      <c r="E322" s="107">
        <v>254</v>
      </c>
      <c r="F322" s="132"/>
      <c r="G322" s="132"/>
    </row>
    <row r="323" spans="1:7" ht="17.25" customHeight="1">
      <c r="A323" s="70">
        <v>1019</v>
      </c>
      <c r="B323" s="91">
        <v>1</v>
      </c>
      <c r="C323" s="70" t="s">
        <v>237</v>
      </c>
      <c r="D323" s="106" t="s">
        <v>239</v>
      </c>
      <c r="E323" s="107">
        <v>100</v>
      </c>
      <c r="F323" s="132"/>
      <c r="G323" s="132"/>
    </row>
    <row r="324" spans="1:7" ht="17.25" customHeight="1">
      <c r="A324" s="40"/>
      <c r="B324" s="207">
        <f>SUM(B319:B323)</f>
        <v>35</v>
      </c>
      <c r="C324" s="207"/>
      <c r="D324" s="207"/>
      <c r="E324" s="207">
        <f>SUM(E319:E323)</f>
        <v>3908</v>
      </c>
      <c r="F324" s="132"/>
      <c r="G324" s="132"/>
    </row>
    <row r="325" spans="1:7" ht="17.25" customHeight="1">
      <c r="A325" s="269" t="s">
        <v>230</v>
      </c>
      <c r="B325" s="270"/>
      <c r="C325" s="271"/>
      <c r="D325" s="161"/>
      <c r="E325" s="207"/>
      <c r="F325" s="132"/>
      <c r="G325" s="132"/>
    </row>
    <row r="326" spans="1:7" ht="17.25" customHeight="1">
      <c r="A326" s="70">
        <v>1015</v>
      </c>
      <c r="B326" s="91">
        <v>1</v>
      </c>
      <c r="C326" s="70" t="s">
        <v>218</v>
      </c>
      <c r="D326" s="106" t="s">
        <v>239</v>
      </c>
      <c r="E326" s="107">
        <v>45</v>
      </c>
      <c r="F326" s="132"/>
      <c r="G326" s="132"/>
    </row>
    <row r="327" spans="1:7" ht="17.25" customHeight="1">
      <c r="A327" s="40"/>
      <c r="B327" s="207">
        <f>B326</f>
        <v>1</v>
      </c>
      <c r="C327" s="207"/>
      <c r="D327" s="207"/>
      <c r="E327" s="207">
        <f>E326</f>
        <v>45</v>
      </c>
      <c r="F327" s="132"/>
      <c r="G327" s="132"/>
    </row>
    <row r="328" spans="1:7" ht="17.25" customHeight="1">
      <c r="A328" s="207" t="s">
        <v>14</v>
      </c>
      <c r="B328" s="126">
        <f>B317+B324+B327</f>
        <v>43</v>
      </c>
      <c r="C328" s="126"/>
      <c r="D328" s="126"/>
      <c r="E328" s="126">
        <f>E317+E324+E327</f>
        <v>4609</v>
      </c>
      <c r="F328" s="132"/>
      <c r="G328" s="132"/>
    </row>
    <row r="329" spans="1:7" ht="17.25" customHeight="1">
      <c r="A329" s="210"/>
      <c r="B329" s="127"/>
      <c r="C329" s="128"/>
      <c r="D329" s="126"/>
      <c r="E329" s="126"/>
      <c r="F329" s="132"/>
      <c r="G329" s="132"/>
    </row>
    <row r="330" spans="1:7" ht="26.25" customHeight="1">
      <c r="A330" s="262" t="s">
        <v>460</v>
      </c>
      <c r="B330" s="264"/>
      <c r="C330" s="264"/>
      <c r="D330" s="264"/>
      <c r="E330" s="264"/>
      <c r="F330" s="132"/>
      <c r="G330" s="132"/>
    </row>
    <row r="331" spans="1:7" ht="29.25" customHeight="1">
      <c r="A331" s="40" t="s">
        <v>212</v>
      </c>
      <c r="B331" s="40" t="s">
        <v>213</v>
      </c>
      <c r="C331" s="40" t="s">
        <v>214</v>
      </c>
      <c r="D331" s="40" t="s">
        <v>215</v>
      </c>
      <c r="E331" s="39" t="s">
        <v>216</v>
      </c>
      <c r="F331" s="132"/>
      <c r="G331" s="132"/>
    </row>
    <row r="332" spans="1:7" ht="19.5" customHeight="1">
      <c r="A332" s="269" t="s">
        <v>223</v>
      </c>
      <c r="B332" s="270"/>
      <c r="C332" s="271"/>
      <c r="D332" s="40"/>
      <c r="E332" s="39"/>
      <c r="F332" s="132"/>
      <c r="G332" s="132"/>
    </row>
    <row r="333" spans="1:7" ht="30">
      <c r="A333" s="40">
        <v>1021</v>
      </c>
      <c r="B333" s="186">
        <v>11</v>
      </c>
      <c r="C333" s="187" t="s">
        <v>237</v>
      </c>
      <c r="D333" s="40" t="s">
        <v>461</v>
      </c>
      <c r="E333" s="187">
        <v>1147</v>
      </c>
      <c r="F333" s="132"/>
      <c r="G333" s="132"/>
    </row>
    <row r="334" spans="1:7" ht="17.25" customHeight="1">
      <c r="A334" s="40"/>
      <c r="B334" s="207">
        <f>SUM(B333:B333)</f>
        <v>11</v>
      </c>
      <c r="C334" s="207"/>
      <c r="D334" s="207"/>
      <c r="E334" s="207">
        <f>SUM(E333:E333)</f>
        <v>1147</v>
      </c>
      <c r="F334" s="132"/>
      <c r="G334" s="132"/>
    </row>
    <row r="335" spans="1:7" ht="17.25" customHeight="1">
      <c r="A335" s="269" t="s">
        <v>217</v>
      </c>
      <c r="B335" s="270"/>
      <c r="C335" s="271"/>
      <c r="D335" s="40"/>
      <c r="E335" s="39"/>
      <c r="F335" s="132"/>
      <c r="G335" s="132"/>
    </row>
    <row r="336" spans="1:7" ht="21" customHeight="1">
      <c r="A336" s="70">
        <v>1022</v>
      </c>
      <c r="B336" s="91">
        <v>25</v>
      </c>
      <c r="C336" s="188" t="s">
        <v>466</v>
      </c>
      <c r="D336" s="106" t="s">
        <v>462</v>
      </c>
      <c r="E336" s="107">
        <v>2568</v>
      </c>
      <c r="F336" s="132"/>
      <c r="G336" s="132"/>
    </row>
    <row r="337" spans="1:7" ht="28.5" customHeight="1">
      <c r="A337" s="70">
        <v>1023</v>
      </c>
      <c r="B337" s="91">
        <v>25</v>
      </c>
      <c r="C337" s="188" t="s">
        <v>232</v>
      </c>
      <c r="D337" s="106" t="s">
        <v>463</v>
      </c>
      <c r="E337" s="107">
        <v>2601</v>
      </c>
      <c r="F337" s="132"/>
      <c r="G337" s="132"/>
    </row>
    <row r="338" spans="1:7" ht="21" customHeight="1">
      <c r="A338" s="70">
        <v>1024</v>
      </c>
      <c r="B338" s="91">
        <v>20</v>
      </c>
      <c r="C338" s="188" t="s">
        <v>467</v>
      </c>
      <c r="D338" s="106" t="s">
        <v>464</v>
      </c>
      <c r="E338" s="107">
        <v>3542</v>
      </c>
      <c r="F338" s="132"/>
      <c r="G338" s="132"/>
    </row>
    <row r="339" spans="1:7" ht="21" customHeight="1">
      <c r="A339" s="40">
        <v>1025</v>
      </c>
      <c r="B339" s="60">
        <v>30</v>
      </c>
      <c r="C339" s="208" t="s">
        <v>468</v>
      </c>
      <c r="D339" s="106" t="s">
        <v>465</v>
      </c>
      <c r="E339" s="106">
        <v>7261</v>
      </c>
      <c r="F339" s="132"/>
      <c r="G339" s="132"/>
    </row>
    <row r="340" spans="1:7" ht="22.5" customHeight="1">
      <c r="A340" s="70">
        <v>1027</v>
      </c>
      <c r="B340" s="91">
        <v>1</v>
      </c>
      <c r="C340" s="70" t="s">
        <v>236</v>
      </c>
      <c r="D340" s="106" t="s">
        <v>239</v>
      </c>
      <c r="E340" s="107">
        <v>36</v>
      </c>
      <c r="F340" s="132"/>
      <c r="G340" s="132"/>
    </row>
    <row r="341" spans="1:7" ht="22.5" customHeight="1">
      <c r="A341" s="70">
        <v>1028</v>
      </c>
      <c r="B341" s="91">
        <v>22</v>
      </c>
      <c r="C341" s="70" t="s">
        <v>218</v>
      </c>
      <c r="D341" s="106" t="s">
        <v>469</v>
      </c>
      <c r="E341" s="107">
        <v>1976</v>
      </c>
      <c r="F341" s="132"/>
      <c r="G341" s="132"/>
    </row>
    <row r="342" spans="1:7" ht="22.5" customHeight="1">
      <c r="A342" s="70">
        <v>1029</v>
      </c>
      <c r="B342" s="91">
        <v>11</v>
      </c>
      <c r="C342" s="70" t="s">
        <v>218</v>
      </c>
      <c r="D342" s="106" t="s">
        <v>470</v>
      </c>
      <c r="E342" s="107">
        <v>926</v>
      </c>
      <c r="F342" s="132"/>
      <c r="G342" s="132"/>
    </row>
    <row r="343" spans="1:7" ht="22.5" customHeight="1">
      <c r="A343" s="70">
        <v>1030</v>
      </c>
      <c r="B343" s="91">
        <v>3</v>
      </c>
      <c r="C343" s="70" t="s">
        <v>237</v>
      </c>
      <c r="D343" s="106" t="s">
        <v>240</v>
      </c>
      <c r="E343" s="107">
        <v>300</v>
      </c>
      <c r="F343" s="132"/>
      <c r="G343" s="132"/>
    </row>
    <row r="344" spans="1:7" ht="17.25" customHeight="1">
      <c r="A344" s="40"/>
      <c r="B344" s="207">
        <f>SUM(B336:B343)</f>
        <v>137</v>
      </c>
      <c r="C344" s="207"/>
      <c r="D344" s="207"/>
      <c r="E344" s="207">
        <f>SUM(E336:E343)</f>
        <v>19210</v>
      </c>
      <c r="F344" s="132"/>
      <c r="G344" s="132"/>
    </row>
    <row r="345" spans="1:7" ht="17.25" customHeight="1">
      <c r="A345" s="269" t="s">
        <v>230</v>
      </c>
      <c r="B345" s="270"/>
      <c r="C345" s="271"/>
      <c r="D345" s="207"/>
      <c r="E345" s="207"/>
      <c r="F345" s="132"/>
      <c r="G345" s="132"/>
    </row>
    <row r="346" spans="1:7" ht="16.5" customHeight="1">
      <c r="A346" s="70">
        <v>1026</v>
      </c>
      <c r="B346" s="91">
        <v>1</v>
      </c>
      <c r="C346" s="70" t="s">
        <v>218</v>
      </c>
      <c r="D346" s="106" t="s">
        <v>239</v>
      </c>
      <c r="E346" s="107">
        <v>45</v>
      </c>
      <c r="F346" s="132"/>
      <c r="G346" s="132"/>
    </row>
    <row r="347" spans="1:7" ht="17.25" customHeight="1">
      <c r="A347" s="40"/>
      <c r="B347" s="207">
        <f>B346</f>
        <v>1</v>
      </c>
      <c r="C347" s="207"/>
      <c r="D347" s="207"/>
      <c r="E347" s="207">
        <f>E346</f>
        <v>45</v>
      </c>
      <c r="F347" s="132"/>
      <c r="G347" s="132"/>
    </row>
    <row r="348" spans="1:7" ht="17.25" customHeight="1">
      <c r="A348" s="207" t="s">
        <v>14</v>
      </c>
      <c r="B348" s="126">
        <f>B334+B344+B347</f>
        <v>149</v>
      </c>
      <c r="C348" s="126"/>
      <c r="D348" s="126"/>
      <c r="E348" s="126">
        <f>E334+E344+E347</f>
        <v>20402</v>
      </c>
      <c r="F348" s="132"/>
      <c r="G348" s="132"/>
    </row>
    <row r="349" spans="1:7" ht="17.25" customHeight="1">
      <c r="A349" s="210"/>
      <c r="B349" s="127"/>
      <c r="C349" s="128"/>
      <c r="D349" s="126"/>
      <c r="E349" s="126"/>
      <c r="F349" s="132"/>
      <c r="G349" s="132"/>
    </row>
    <row r="350" spans="1:7" ht="28.5" customHeight="1">
      <c r="A350" s="262" t="s">
        <v>471</v>
      </c>
      <c r="B350" s="264"/>
      <c r="C350" s="264"/>
      <c r="D350" s="264"/>
      <c r="E350" s="264"/>
      <c r="F350" s="132"/>
      <c r="G350" s="132"/>
    </row>
    <row r="351" spans="1:7" ht="24" customHeight="1">
      <c r="A351" s="40" t="s">
        <v>212</v>
      </c>
      <c r="B351" s="40" t="s">
        <v>213</v>
      </c>
      <c r="C351" s="40" t="s">
        <v>214</v>
      </c>
      <c r="D351" s="40" t="s">
        <v>215</v>
      </c>
      <c r="E351" s="39" t="s">
        <v>216</v>
      </c>
      <c r="F351" s="132"/>
      <c r="G351" s="132"/>
    </row>
    <row r="352" spans="1:7" ht="17.25" customHeight="1">
      <c r="A352" s="269" t="s">
        <v>223</v>
      </c>
      <c r="B352" s="270"/>
      <c r="C352" s="271"/>
      <c r="D352" s="40"/>
      <c r="E352" s="39"/>
      <c r="F352" s="132"/>
      <c r="G352" s="132"/>
    </row>
    <row r="353" spans="1:7" ht="30.75" customHeight="1">
      <c r="A353" s="70">
        <v>205</v>
      </c>
      <c r="B353" s="91">
        <v>17</v>
      </c>
      <c r="C353" s="91" t="s">
        <v>224</v>
      </c>
      <c r="D353" s="70" t="s">
        <v>472</v>
      </c>
      <c r="E353" s="107">
        <v>1056</v>
      </c>
      <c r="F353" s="132"/>
      <c r="G353" s="132"/>
    </row>
    <row r="354" spans="1:7" ht="17.25" customHeight="1">
      <c r="A354" s="40">
        <v>206</v>
      </c>
      <c r="B354" s="106">
        <v>8</v>
      </c>
      <c r="C354" s="106" t="s">
        <v>225</v>
      </c>
      <c r="D354" s="106" t="s">
        <v>473</v>
      </c>
      <c r="E354" s="106">
        <v>643</v>
      </c>
      <c r="F354" s="132"/>
      <c r="G354" s="132"/>
    </row>
    <row r="355" spans="1:7" ht="17.25" customHeight="1">
      <c r="A355" s="40"/>
      <c r="B355" s="207">
        <f>SUM(B353:B354)</f>
        <v>25</v>
      </c>
      <c r="C355" s="207"/>
      <c r="D355" s="207"/>
      <c r="E355" s="207">
        <f>SUM(E353:E354)</f>
        <v>1699</v>
      </c>
      <c r="F355" s="132"/>
      <c r="G355" s="132"/>
    </row>
    <row r="356" spans="1:7" ht="17.25" customHeight="1">
      <c r="A356" s="269" t="s">
        <v>217</v>
      </c>
      <c r="B356" s="270"/>
      <c r="C356" s="271"/>
      <c r="D356" s="40"/>
      <c r="E356" s="39"/>
      <c r="F356" s="132"/>
      <c r="G356" s="132"/>
    </row>
    <row r="357" spans="1:7" ht="17.25" customHeight="1">
      <c r="A357" s="40">
        <v>207</v>
      </c>
      <c r="B357" s="60">
        <v>15</v>
      </c>
      <c r="C357" s="40" t="s">
        <v>224</v>
      </c>
      <c r="D357" s="60" t="s">
        <v>474</v>
      </c>
      <c r="E357" s="40">
        <v>772</v>
      </c>
      <c r="F357" s="132"/>
      <c r="G357" s="132">
        <f>B357+B362</f>
        <v>18</v>
      </c>
    </row>
    <row r="358" spans="1:7" ht="17.25" customHeight="1">
      <c r="A358" s="40">
        <v>208</v>
      </c>
      <c r="B358" s="40">
        <v>2</v>
      </c>
      <c r="C358" s="40" t="s">
        <v>225</v>
      </c>
      <c r="D358" s="40" t="s">
        <v>475</v>
      </c>
      <c r="E358" s="40">
        <v>143</v>
      </c>
      <c r="F358" s="132"/>
      <c r="G358" s="132">
        <f>B358+B363</f>
        <v>5</v>
      </c>
    </row>
    <row r="359" spans="1:7" ht="17.25" customHeight="1">
      <c r="A359" s="40">
        <v>211</v>
      </c>
      <c r="B359" s="40">
        <v>2</v>
      </c>
      <c r="C359" s="208" t="s">
        <v>232</v>
      </c>
      <c r="D359" s="40" t="s">
        <v>476</v>
      </c>
      <c r="E359" s="40">
        <v>248</v>
      </c>
      <c r="F359" s="132"/>
      <c r="G359" s="132"/>
    </row>
    <row r="360" spans="1:7" ht="17.25" customHeight="1">
      <c r="A360" s="40">
        <v>212</v>
      </c>
      <c r="B360" s="40">
        <v>4</v>
      </c>
      <c r="C360" s="208" t="s">
        <v>241</v>
      </c>
      <c r="D360" s="40" t="s">
        <v>477</v>
      </c>
      <c r="E360" s="40">
        <v>800</v>
      </c>
      <c r="F360" s="132"/>
      <c r="G360" s="132"/>
    </row>
    <row r="361" spans="1:7" ht="17.25" customHeight="1">
      <c r="A361" s="40">
        <v>214</v>
      </c>
      <c r="B361" s="40">
        <v>2</v>
      </c>
      <c r="C361" s="208" t="s">
        <v>244</v>
      </c>
      <c r="D361" s="40" t="s">
        <v>478</v>
      </c>
      <c r="E361" s="40">
        <v>585</v>
      </c>
      <c r="F361" s="132"/>
      <c r="G361" s="132"/>
    </row>
    <row r="362" spans="1:7" ht="17.25" customHeight="1">
      <c r="A362" s="40">
        <v>215</v>
      </c>
      <c r="B362" s="40">
        <v>3</v>
      </c>
      <c r="C362" s="40" t="s">
        <v>224</v>
      </c>
      <c r="D362" s="40" t="s">
        <v>484</v>
      </c>
      <c r="E362" s="40">
        <v>162</v>
      </c>
      <c r="F362" s="132"/>
      <c r="G362" s="132"/>
    </row>
    <row r="363" spans="1:7" ht="17.25" customHeight="1">
      <c r="A363" s="40">
        <v>216</v>
      </c>
      <c r="B363" s="40">
        <v>3</v>
      </c>
      <c r="C363" s="40" t="s">
        <v>225</v>
      </c>
      <c r="D363" s="40" t="s">
        <v>485</v>
      </c>
      <c r="E363" s="40">
        <v>200</v>
      </c>
      <c r="F363" s="132"/>
      <c r="G363" s="132"/>
    </row>
    <row r="364" spans="1:7" ht="25.5" customHeight="1">
      <c r="A364" s="40">
        <v>213</v>
      </c>
      <c r="B364" s="40">
        <v>3</v>
      </c>
      <c r="C364" s="208" t="s">
        <v>479</v>
      </c>
      <c r="D364" s="40" t="s">
        <v>480</v>
      </c>
      <c r="E364" s="40">
        <v>580</v>
      </c>
      <c r="F364" s="132"/>
      <c r="G364" s="132"/>
    </row>
    <row r="365" spans="1:7" ht="17.25" customHeight="1">
      <c r="A365" s="40"/>
      <c r="B365" s="207">
        <f>SUM(B357:B364)</f>
        <v>34</v>
      </c>
      <c r="C365" s="207"/>
      <c r="D365" s="207"/>
      <c r="E365" s="207">
        <f>SUM(E357:E364)</f>
        <v>3490</v>
      </c>
      <c r="F365" s="132"/>
      <c r="G365" s="132"/>
    </row>
    <row r="366" spans="1:7" ht="17.25" customHeight="1">
      <c r="A366" s="269" t="s">
        <v>229</v>
      </c>
      <c r="B366" s="270"/>
      <c r="C366" s="271"/>
      <c r="D366" s="207"/>
      <c r="E366" s="207"/>
      <c r="F366" s="132"/>
      <c r="G366" s="132"/>
    </row>
    <row r="367" spans="1:7" ht="17.25" customHeight="1">
      <c r="A367" s="40">
        <v>209</v>
      </c>
      <c r="B367" s="60">
        <v>5</v>
      </c>
      <c r="C367" s="60" t="s">
        <v>225</v>
      </c>
      <c r="D367" s="60" t="s">
        <v>482</v>
      </c>
      <c r="E367" s="40">
        <v>281</v>
      </c>
      <c r="F367" s="132"/>
      <c r="G367" s="132"/>
    </row>
    <row r="368" spans="1:7" ht="17.25" customHeight="1">
      <c r="A368" s="40"/>
      <c r="B368" s="207">
        <f>B367</f>
        <v>5</v>
      </c>
      <c r="C368" s="207"/>
      <c r="D368" s="207"/>
      <c r="E368" s="207">
        <f>E367</f>
        <v>281</v>
      </c>
      <c r="F368" s="132"/>
      <c r="G368" s="132"/>
    </row>
    <row r="369" spans="1:7" ht="17.25" customHeight="1">
      <c r="A369" s="269" t="s">
        <v>230</v>
      </c>
      <c r="B369" s="270"/>
      <c r="C369" s="271"/>
      <c r="D369" s="207"/>
      <c r="E369" s="207"/>
      <c r="F369" s="132"/>
      <c r="G369" s="132"/>
    </row>
    <row r="370" spans="1:7" ht="17.25" customHeight="1">
      <c r="A370" s="40">
        <v>210</v>
      </c>
      <c r="B370" s="40">
        <v>1</v>
      </c>
      <c r="C370" s="40" t="s">
        <v>225</v>
      </c>
      <c r="D370" s="40" t="s">
        <v>481</v>
      </c>
      <c r="E370" s="40">
        <v>56</v>
      </c>
      <c r="F370" s="132"/>
      <c r="G370" s="132"/>
    </row>
    <row r="371" spans="1:7" ht="17.25" customHeight="1">
      <c r="A371" s="40"/>
      <c r="B371" s="207">
        <f>B370</f>
        <v>1</v>
      </c>
      <c r="C371" s="207"/>
      <c r="D371" s="207"/>
      <c r="E371" s="207">
        <f>E370</f>
        <v>56</v>
      </c>
      <c r="F371" s="132"/>
      <c r="G371" s="132"/>
    </row>
    <row r="372" spans="1:7" ht="17.25" customHeight="1">
      <c r="A372" s="207" t="s">
        <v>14</v>
      </c>
      <c r="B372" s="126">
        <f>B355+B365+B371+B368</f>
        <v>65</v>
      </c>
      <c r="C372" s="126"/>
      <c r="D372" s="126"/>
      <c r="E372" s="126">
        <f>E355+E365+E371+E368</f>
        <v>5526</v>
      </c>
      <c r="F372" s="132"/>
      <c r="G372" s="132"/>
    </row>
    <row r="373" spans="1:7" ht="17.25" customHeight="1">
      <c r="A373" s="210"/>
      <c r="B373" s="127"/>
      <c r="C373" s="128"/>
      <c r="D373" s="126"/>
      <c r="E373" s="126"/>
      <c r="F373" s="132"/>
      <c r="G373" s="132"/>
    </row>
    <row r="374" spans="1:7" ht="28.5" customHeight="1">
      <c r="A374" s="262" t="s">
        <v>486</v>
      </c>
      <c r="B374" s="264"/>
      <c r="C374" s="264"/>
      <c r="D374" s="264"/>
      <c r="E374" s="264"/>
      <c r="F374" s="132"/>
      <c r="G374" s="132"/>
    </row>
    <row r="375" spans="1:7" ht="22.5" customHeight="1">
      <c r="A375" s="40" t="s">
        <v>212</v>
      </c>
      <c r="B375" s="40" t="s">
        <v>213</v>
      </c>
      <c r="C375" s="40" t="s">
        <v>214</v>
      </c>
      <c r="D375" s="40" t="s">
        <v>215</v>
      </c>
      <c r="E375" s="39" t="s">
        <v>216</v>
      </c>
      <c r="F375" s="132"/>
      <c r="G375" s="132"/>
    </row>
    <row r="376" spans="1:7" ht="17.25" customHeight="1">
      <c r="A376" s="269" t="s">
        <v>223</v>
      </c>
      <c r="B376" s="270"/>
      <c r="C376" s="271"/>
      <c r="D376" s="40"/>
      <c r="E376" s="39"/>
      <c r="F376" s="132"/>
      <c r="G376" s="132"/>
    </row>
    <row r="377" spans="1:7" ht="26.25" customHeight="1">
      <c r="A377" s="60" t="s">
        <v>490</v>
      </c>
      <c r="B377" s="60">
        <v>20</v>
      </c>
      <c r="C377" s="60" t="s">
        <v>224</v>
      </c>
      <c r="D377" s="40" t="s">
        <v>491</v>
      </c>
      <c r="E377" s="60">
        <v>1213.7</v>
      </c>
      <c r="F377" s="132"/>
      <c r="G377" s="132"/>
    </row>
    <row r="378" spans="1:7" ht="17.25" customHeight="1">
      <c r="A378" s="60" t="s">
        <v>492</v>
      </c>
      <c r="B378" s="60">
        <v>6</v>
      </c>
      <c r="C378" s="60" t="s">
        <v>228</v>
      </c>
      <c r="D378" s="40" t="s">
        <v>493</v>
      </c>
      <c r="E378" s="60">
        <v>672.4</v>
      </c>
      <c r="F378" s="132"/>
      <c r="G378" s="132"/>
    </row>
    <row r="379" spans="1:7" ht="17.25" customHeight="1">
      <c r="A379" s="60" t="s">
        <v>494</v>
      </c>
      <c r="B379" s="60">
        <v>7</v>
      </c>
      <c r="C379" s="60" t="s">
        <v>218</v>
      </c>
      <c r="D379" s="40" t="s">
        <v>495</v>
      </c>
      <c r="E379" s="60">
        <v>560.05</v>
      </c>
      <c r="F379" s="132"/>
      <c r="G379" s="132"/>
    </row>
    <row r="380" spans="1:7" ht="17.25" customHeight="1">
      <c r="A380" s="60" t="s">
        <v>496</v>
      </c>
      <c r="B380" s="60">
        <v>1</v>
      </c>
      <c r="C380" s="40" t="s">
        <v>537</v>
      </c>
      <c r="D380" s="40" t="s">
        <v>497</v>
      </c>
      <c r="E380" s="60">
        <v>62</v>
      </c>
      <c r="F380" s="132"/>
      <c r="G380" s="132"/>
    </row>
    <row r="381" spans="1:7" ht="17.25" customHeight="1">
      <c r="A381" s="60" t="s">
        <v>498</v>
      </c>
      <c r="B381" s="60">
        <v>6</v>
      </c>
      <c r="C381" s="60" t="s">
        <v>224</v>
      </c>
      <c r="D381" s="40" t="s">
        <v>499</v>
      </c>
      <c r="E381" s="60">
        <v>347</v>
      </c>
      <c r="F381" s="132"/>
      <c r="G381" s="132"/>
    </row>
    <row r="382" spans="1:7" ht="17.25" customHeight="1">
      <c r="A382" s="40"/>
      <c r="B382" s="207">
        <f>SUM(B377:B381)</f>
        <v>40</v>
      </c>
      <c r="C382" s="207"/>
      <c r="D382" s="207"/>
      <c r="E382" s="207">
        <f>SUM(E377:E381)</f>
        <v>2855.1499999999996</v>
      </c>
      <c r="F382" s="132"/>
      <c r="G382" s="132"/>
    </row>
    <row r="383" spans="1:7" ht="17.25" customHeight="1">
      <c r="A383" s="269" t="s">
        <v>217</v>
      </c>
      <c r="B383" s="270"/>
      <c r="C383" s="271"/>
      <c r="D383" s="40"/>
      <c r="E383" s="39"/>
      <c r="F383" s="132"/>
      <c r="G383" s="132"/>
    </row>
    <row r="384" spans="1:8" ht="17.25" customHeight="1">
      <c r="A384" s="60" t="s">
        <v>500</v>
      </c>
      <c r="B384" s="186">
        <v>14</v>
      </c>
      <c r="C384" s="106" t="s">
        <v>224</v>
      </c>
      <c r="D384" s="106" t="s">
        <v>501</v>
      </c>
      <c r="E384" s="186">
        <v>837</v>
      </c>
      <c r="F384" s="132"/>
      <c r="G384" s="132"/>
      <c r="H384" s="99">
        <f>B384+B387</f>
        <v>23</v>
      </c>
    </row>
    <row r="385" spans="1:7" ht="17.25" customHeight="1">
      <c r="A385" s="60" t="s">
        <v>502</v>
      </c>
      <c r="B385" s="186">
        <v>2</v>
      </c>
      <c r="C385" s="208" t="s">
        <v>466</v>
      </c>
      <c r="D385" s="40" t="s">
        <v>503</v>
      </c>
      <c r="E385" s="40">
        <v>214</v>
      </c>
      <c r="F385" s="132"/>
      <c r="G385" s="132"/>
    </row>
    <row r="386" spans="1:7" ht="17.25" customHeight="1">
      <c r="A386" s="60" t="s">
        <v>504</v>
      </c>
      <c r="B386" s="60">
        <v>10</v>
      </c>
      <c r="C386" s="208" t="s">
        <v>241</v>
      </c>
      <c r="D386" s="40" t="s">
        <v>505</v>
      </c>
      <c r="E386" s="60">
        <v>2045</v>
      </c>
      <c r="F386" s="132"/>
      <c r="G386" s="132"/>
    </row>
    <row r="387" spans="1:7" ht="17.25" customHeight="1">
      <c r="A387" s="60" t="s">
        <v>506</v>
      </c>
      <c r="B387" s="186">
        <v>9</v>
      </c>
      <c r="C387" s="106" t="s">
        <v>359</v>
      </c>
      <c r="D387" s="106" t="s">
        <v>507</v>
      </c>
      <c r="E387" s="186">
        <v>385</v>
      </c>
      <c r="F387" s="132"/>
      <c r="G387" s="132"/>
    </row>
    <row r="388" spans="1:7" ht="17.25" customHeight="1">
      <c r="A388" s="60" t="s">
        <v>508</v>
      </c>
      <c r="B388" s="186">
        <v>16</v>
      </c>
      <c r="C388" s="106" t="s">
        <v>515</v>
      </c>
      <c r="D388" s="106" t="s">
        <v>509</v>
      </c>
      <c r="E388" s="186">
        <v>972</v>
      </c>
      <c r="F388" s="132"/>
      <c r="G388" s="132"/>
    </row>
    <row r="389" spans="1:7" ht="17.25" customHeight="1">
      <c r="A389" s="60" t="s">
        <v>510</v>
      </c>
      <c r="B389" s="186">
        <v>5</v>
      </c>
      <c r="C389" s="106" t="s">
        <v>511</v>
      </c>
      <c r="D389" s="106" t="s">
        <v>512</v>
      </c>
      <c r="E389" s="186">
        <v>369</v>
      </c>
      <c r="F389" s="132"/>
      <c r="G389" s="132"/>
    </row>
    <row r="390" spans="1:7" ht="17.25" customHeight="1">
      <c r="A390" s="40"/>
      <c r="B390" s="207">
        <f>SUM(B384:B389)</f>
        <v>56</v>
      </c>
      <c r="C390" s="207"/>
      <c r="D390" s="207"/>
      <c r="E390" s="210">
        <f>SUM(E384:E389)</f>
        <v>4822</v>
      </c>
      <c r="F390" s="132"/>
      <c r="G390" s="132"/>
    </row>
    <row r="391" spans="1:7" ht="17.25" customHeight="1">
      <c r="A391" s="269" t="s">
        <v>229</v>
      </c>
      <c r="B391" s="270"/>
      <c r="C391" s="271"/>
      <c r="D391" s="207"/>
      <c r="E391" s="210"/>
      <c r="F391" s="132"/>
      <c r="G391" s="132"/>
    </row>
    <row r="392" spans="1:7" ht="17.25" customHeight="1">
      <c r="A392" s="60" t="s">
        <v>513</v>
      </c>
      <c r="B392" s="186">
        <v>6</v>
      </c>
      <c r="C392" s="186" t="s">
        <v>516</v>
      </c>
      <c r="D392" s="106" t="s">
        <v>514</v>
      </c>
      <c r="E392" s="186">
        <v>351.8</v>
      </c>
      <c r="F392" s="132"/>
      <c r="G392" s="132"/>
    </row>
    <row r="393" spans="1:7" ht="17.25" customHeight="1">
      <c r="A393" s="40"/>
      <c r="B393" s="207">
        <f>B392</f>
        <v>6</v>
      </c>
      <c r="C393" s="207"/>
      <c r="D393" s="207"/>
      <c r="E393" s="207">
        <f>E392</f>
        <v>351.8</v>
      </c>
      <c r="F393" s="132"/>
      <c r="G393" s="132"/>
    </row>
    <row r="394" spans="1:7" ht="17.25" customHeight="1">
      <c r="A394" s="207" t="s">
        <v>14</v>
      </c>
      <c r="B394" s="126">
        <f>B382+B390+B393</f>
        <v>102</v>
      </c>
      <c r="C394" s="126"/>
      <c r="D394" s="126"/>
      <c r="E394" s="126">
        <f>E382+E390+E393</f>
        <v>8028.95</v>
      </c>
      <c r="F394" s="132"/>
      <c r="G394" s="132"/>
    </row>
    <row r="395" spans="1:7" ht="17.25" customHeight="1">
      <c r="A395" s="210"/>
      <c r="B395" s="127"/>
      <c r="C395" s="128"/>
      <c r="D395" s="126"/>
      <c r="E395" s="126"/>
      <c r="F395" s="132"/>
      <c r="G395" s="132"/>
    </row>
    <row r="396" spans="1:7" ht="28.5" customHeight="1">
      <c r="A396" s="262" t="s">
        <v>517</v>
      </c>
      <c r="B396" s="264"/>
      <c r="C396" s="264"/>
      <c r="D396" s="264"/>
      <c r="E396" s="264"/>
      <c r="F396" s="132"/>
      <c r="G396" s="132"/>
    </row>
    <row r="397" spans="1:7" ht="24" customHeight="1">
      <c r="A397" s="40" t="s">
        <v>212</v>
      </c>
      <c r="B397" s="40" t="s">
        <v>213</v>
      </c>
      <c r="C397" s="40" t="s">
        <v>214</v>
      </c>
      <c r="D397" s="40" t="s">
        <v>215</v>
      </c>
      <c r="E397" s="39" t="s">
        <v>216</v>
      </c>
      <c r="F397" s="132"/>
      <c r="G397" s="132"/>
    </row>
    <row r="398" spans="1:7" ht="17.25" customHeight="1">
      <c r="A398" s="269" t="s">
        <v>223</v>
      </c>
      <c r="B398" s="270"/>
      <c r="C398" s="271"/>
      <c r="D398" s="40"/>
      <c r="E398" s="39"/>
      <c r="F398" s="132"/>
      <c r="G398" s="132"/>
    </row>
    <row r="399" spans="1:7" ht="17.25" customHeight="1">
      <c r="A399" s="60">
        <v>23108</v>
      </c>
      <c r="B399" s="60">
        <v>4</v>
      </c>
      <c r="C399" s="40" t="s">
        <v>225</v>
      </c>
      <c r="D399" s="40" t="s">
        <v>518</v>
      </c>
      <c r="E399" s="60">
        <v>334</v>
      </c>
      <c r="F399" s="132"/>
      <c r="G399" s="132"/>
    </row>
    <row r="400" spans="1:7" ht="17.25" customHeight="1">
      <c r="A400" s="40"/>
      <c r="B400" s="207">
        <f>SUM(B399:B399)</f>
        <v>4</v>
      </c>
      <c r="C400" s="207"/>
      <c r="D400" s="207"/>
      <c r="E400" s="207">
        <f>SUM(E399:E399)</f>
        <v>334</v>
      </c>
      <c r="F400" s="132"/>
      <c r="G400" s="132"/>
    </row>
    <row r="401" spans="1:7" ht="17.25" customHeight="1">
      <c r="A401" s="269" t="s">
        <v>217</v>
      </c>
      <c r="B401" s="270"/>
      <c r="C401" s="271"/>
      <c r="D401" s="40"/>
      <c r="E401" s="39"/>
      <c r="F401" s="132"/>
      <c r="G401" s="132"/>
    </row>
    <row r="402" spans="1:7" ht="17.25" customHeight="1">
      <c r="A402" s="60">
        <v>23110</v>
      </c>
      <c r="B402" s="60">
        <v>2</v>
      </c>
      <c r="C402" s="60" t="s">
        <v>224</v>
      </c>
      <c r="D402" s="60" t="s">
        <v>520</v>
      </c>
      <c r="E402" s="60">
        <v>108</v>
      </c>
      <c r="F402" s="132"/>
      <c r="G402" s="132"/>
    </row>
    <row r="403" spans="1:7" ht="17.25" customHeight="1">
      <c r="A403" s="40">
        <v>23111</v>
      </c>
      <c r="B403" s="40">
        <v>3</v>
      </c>
      <c r="C403" s="189" t="s">
        <v>241</v>
      </c>
      <c r="D403" s="40" t="s">
        <v>521</v>
      </c>
      <c r="E403" s="40">
        <v>590</v>
      </c>
      <c r="F403" s="132"/>
      <c r="G403" s="132"/>
    </row>
    <row r="404" spans="1:7" ht="17.25" customHeight="1">
      <c r="A404" s="40">
        <v>23112</v>
      </c>
      <c r="B404" s="40">
        <v>1</v>
      </c>
      <c r="C404" s="208" t="s">
        <v>244</v>
      </c>
      <c r="D404" s="40" t="s">
        <v>284</v>
      </c>
      <c r="E404" s="40">
        <v>290</v>
      </c>
      <c r="F404" s="132"/>
      <c r="G404" s="132"/>
    </row>
    <row r="405" spans="1:7" ht="17.25" customHeight="1">
      <c r="A405" s="40">
        <v>23113</v>
      </c>
      <c r="B405" s="40">
        <v>1</v>
      </c>
      <c r="C405" s="208" t="s">
        <v>522</v>
      </c>
      <c r="D405" s="40" t="s">
        <v>523</v>
      </c>
      <c r="E405" s="40">
        <v>430</v>
      </c>
      <c r="F405" s="132"/>
      <c r="G405" s="132"/>
    </row>
    <row r="406" spans="1:7" ht="17.25" customHeight="1">
      <c r="A406" s="40"/>
      <c r="B406" s="207">
        <f>SUM(B402:B405)</f>
        <v>7</v>
      </c>
      <c r="C406" s="207"/>
      <c r="D406" s="207"/>
      <c r="E406" s="207">
        <f>SUM(E402:E405)</f>
        <v>1418</v>
      </c>
      <c r="F406" s="132"/>
      <c r="G406" s="132"/>
    </row>
    <row r="407" spans="1:7" ht="17.25" customHeight="1">
      <c r="A407" s="207" t="s">
        <v>14</v>
      </c>
      <c r="B407" s="126">
        <f>B400+B406</f>
        <v>11</v>
      </c>
      <c r="C407" s="126"/>
      <c r="D407" s="126"/>
      <c r="E407" s="126">
        <f>E400+E406</f>
        <v>1752</v>
      </c>
      <c r="F407" s="132"/>
      <c r="G407" s="132"/>
    </row>
    <row r="408" spans="1:7" ht="17.25" customHeight="1">
      <c r="A408" s="210"/>
      <c r="B408" s="127"/>
      <c r="C408" s="128"/>
      <c r="D408" s="126"/>
      <c r="E408" s="126"/>
      <c r="F408" s="132"/>
      <c r="G408" s="132"/>
    </row>
    <row r="409" spans="1:7" ht="26.25" customHeight="1">
      <c r="A409" s="262" t="s">
        <v>531</v>
      </c>
      <c r="B409" s="264"/>
      <c r="C409" s="264"/>
      <c r="D409" s="264"/>
      <c r="E409" s="264"/>
      <c r="F409" s="132"/>
      <c r="G409" s="132"/>
    </row>
    <row r="410" spans="1:7" ht="25.5" customHeight="1">
      <c r="A410" s="40" t="s">
        <v>212</v>
      </c>
      <c r="B410" s="40" t="s">
        <v>213</v>
      </c>
      <c r="C410" s="40" t="s">
        <v>214</v>
      </c>
      <c r="D410" s="40" t="s">
        <v>215</v>
      </c>
      <c r="E410" s="39" t="s">
        <v>216</v>
      </c>
      <c r="F410" s="132"/>
      <c r="G410" s="132"/>
    </row>
    <row r="411" spans="1:7" ht="17.25" customHeight="1">
      <c r="A411" s="269" t="s">
        <v>223</v>
      </c>
      <c r="B411" s="270"/>
      <c r="C411" s="271"/>
      <c r="D411" s="40"/>
      <c r="E411" s="39"/>
      <c r="F411" s="132"/>
      <c r="G411" s="132"/>
    </row>
    <row r="412" spans="1:7" ht="17.25" customHeight="1">
      <c r="A412" s="60">
        <v>23109</v>
      </c>
      <c r="B412" s="60">
        <v>8</v>
      </c>
      <c r="C412" s="40" t="s">
        <v>228</v>
      </c>
      <c r="D412" s="40" t="s">
        <v>519</v>
      </c>
      <c r="E412" s="60">
        <v>894</v>
      </c>
      <c r="F412" s="132"/>
      <c r="G412" s="132"/>
    </row>
    <row r="413" spans="1:7" ht="17.25" customHeight="1">
      <c r="A413" s="40"/>
      <c r="B413" s="207">
        <f>SUM(B412:B412)</f>
        <v>8</v>
      </c>
      <c r="C413" s="207"/>
      <c r="D413" s="207"/>
      <c r="E413" s="207">
        <f>SUM(E412:E412)</f>
        <v>894</v>
      </c>
      <c r="F413" s="132"/>
      <c r="G413" s="132"/>
    </row>
    <row r="414" spans="1:7" ht="17.25" customHeight="1">
      <c r="A414" s="269" t="s">
        <v>217</v>
      </c>
      <c r="B414" s="270"/>
      <c r="C414" s="271"/>
      <c r="D414" s="40"/>
      <c r="E414" s="39"/>
      <c r="F414" s="132"/>
      <c r="G414" s="132"/>
    </row>
    <row r="415" spans="1:7" ht="17.25" customHeight="1">
      <c r="A415" s="60">
        <v>23114</v>
      </c>
      <c r="B415" s="60">
        <v>2</v>
      </c>
      <c r="C415" s="40" t="s">
        <v>228</v>
      </c>
      <c r="D415" s="40" t="s">
        <v>524</v>
      </c>
      <c r="E415" s="60">
        <v>147</v>
      </c>
      <c r="F415" s="132"/>
      <c r="G415" s="132"/>
    </row>
    <row r="416" spans="1:7" ht="17.25" customHeight="1">
      <c r="A416" s="60">
        <v>23114</v>
      </c>
      <c r="B416" s="60">
        <v>1</v>
      </c>
      <c r="C416" s="208" t="s">
        <v>232</v>
      </c>
      <c r="D416" s="70" t="s">
        <v>525</v>
      </c>
      <c r="E416" s="40">
        <v>90</v>
      </c>
      <c r="F416" s="132"/>
      <c r="G416" s="132"/>
    </row>
    <row r="417" spans="1:7" ht="17.25" customHeight="1">
      <c r="A417" s="40"/>
      <c r="B417" s="207">
        <f>SUM(B415:B416)</f>
        <v>3</v>
      </c>
      <c r="C417" s="207"/>
      <c r="D417" s="207"/>
      <c r="E417" s="207">
        <f>SUM(E415:E416)</f>
        <v>237</v>
      </c>
      <c r="F417" s="132"/>
      <c r="G417" s="132"/>
    </row>
    <row r="418" spans="1:7" ht="17.25" customHeight="1">
      <c r="A418" s="269" t="s">
        <v>230</v>
      </c>
      <c r="B418" s="270"/>
      <c r="C418" s="271"/>
      <c r="D418" s="207"/>
      <c r="E418" s="210"/>
      <c r="F418" s="132"/>
      <c r="G418" s="132"/>
    </row>
    <row r="419" spans="1:7" ht="17.25" customHeight="1">
      <c r="A419" s="42">
        <v>23139</v>
      </c>
      <c r="B419" s="60">
        <v>10</v>
      </c>
      <c r="C419" s="40" t="s">
        <v>218</v>
      </c>
      <c r="D419" s="70" t="s">
        <v>532</v>
      </c>
      <c r="E419" s="40">
        <v>675</v>
      </c>
      <c r="F419" s="132"/>
      <c r="G419" s="132"/>
    </row>
    <row r="420" spans="1:7" ht="17.25" customHeight="1">
      <c r="A420" s="40"/>
      <c r="B420" s="207">
        <f>B419</f>
        <v>10</v>
      </c>
      <c r="C420" s="207"/>
      <c r="D420" s="207"/>
      <c r="E420" s="207">
        <f>E419</f>
        <v>675</v>
      </c>
      <c r="F420" s="132"/>
      <c r="G420" s="132"/>
    </row>
    <row r="421" spans="1:7" ht="17.25" customHeight="1">
      <c r="A421" s="207" t="s">
        <v>14</v>
      </c>
      <c r="B421" s="126">
        <f>B413+B417+B420</f>
        <v>21</v>
      </c>
      <c r="C421" s="126"/>
      <c r="D421" s="126"/>
      <c r="E421" s="126">
        <f>E413+E417+E420</f>
        <v>1806</v>
      </c>
      <c r="F421" s="132"/>
      <c r="G421" s="132"/>
    </row>
    <row r="422" spans="1:7" ht="17.25" customHeight="1">
      <c r="A422" s="210"/>
      <c r="B422" s="127"/>
      <c r="C422" s="128"/>
      <c r="D422" s="126"/>
      <c r="E422" s="126"/>
      <c r="F422" s="132"/>
      <c r="G422" s="132"/>
    </row>
    <row r="423" spans="1:7" ht="33.75" customHeight="1">
      <c r="A423" s="262" t="s">
        <v>546</v>
      </c>
      <c r="B423" s="264"/>
      <c r="C423" s="264"/>
      <c r="D423" s="264"/>
      <c r="E423" s="264"/>
      <c r="F423" s="132"/>
      <c r="G423" s="132"/>
    </row>
    <row r="424" spans="1:7" ht="23.25" customHeight="1">
      <c r="A424" s="40" t="s">
        <v>212</v>
      </c>
      <c r="B424" s="40" t="s">
        <v>213</v>
      </c>
      <c r="C424" s="40" t="s">
        <v>214</v>
      </c>
      <c r="D424" s="40" t="s">
        <v>215</v>
      </c>
      <c r="E424" s="39" t="s">
        <v>216</v>
      </c>
      <c r="F424" s="132"/>
      <c r="G424" s="132"/>
    </row>
    <row r="425" spans="1:7" ht="17.25" customHeight="1">
      <c r="A425" s="269" t="s">
        <v>223</v>
      </c>
      <c r="B425" s="270"/>
      <c r="C425" s="271"/>
      <c r="D425" s="40"/>
      <c r="E425" s="39"/>
      <c r="F425" s="132"/>
      <c r="G425" s="132"/>
    </row>
    <row r="426" spans="1:7" ht="17.25" customHeight="1">
      <c r="A426" s="70">
        <v>2</v>
      </c>
      <c r="B426" s="91">
        <v>2</v>
      </c>
      <c r="C426" s="60" t="s">
        <v>224</v>
      </c>
      <c r="D426" s="187" t="s">
        <v>538</v>
      </c>
      <c r="E426" s="70">
        <v>116</v>
      </c>
      <c r="F426" s="132"/>
      <c r="G426" s="132"/>
    </row>
    <row r="427" spans="1:7" ht="17.25" customHeight="1">
      <c r="A427" s="70">
        <v>3</v>
      </c>
      <c r="B427" s="60">
        <v>8</v>
      </c>
      <c r="C427" s="91" t="s">
        <v>225</v>
      </c>
      <c r="D427" s="60" t="s">
        <v>539</v>
      </c>
      <c r="E427" s="40">
        <v>646</v>
      </c>
      <c r="F427" s="132"/>
      <c r="G427" s="132"/>
    </row>
    <row r="428" spans="1:7" ht="17.25" customHeight="1">
      <c r="A428" s="70">
        <v>4</v>
      </c>
      <c r="B428" s="91">
        <v>12</v>
      </c>
      <c r="C428" s="60" t="s">
        <v>228</v>
      </c>
      <c r="D428" s="70" t="s">
        <v>540</v>
      </c>
      <c r="E428" s="70">
        <v>1335</v>
      </c>
      <c r="F428" s="132"/>
      <c r="G428" s="132"/>
    </row>
    <row r="429" spans="1:7" ht="17.25" customHeight="1">
      <c r="A429" s="70">
        <v>5</v>
      </c>
      <c r="B429" s="40">
        <v>2</v>
      </c>
      <c r="C429" s="208" t="s">
        <v>547</v>
      </c>
      <c r="D429" s="106" t="s">
        <v>541</v>
      </c>
      <c r="E429" s="186">
        <v>1300</v>
      </c>
      <c r="F429" s="132"/>
      <c r="G429" s="132"/>
    </row>
    <row r="430" spans="1:7" ht="17.25" customHeight="1">
      <c r="A430" s="70">
        <v>6</v>
      </c>
      <c r="B430" s="105">
        <v>2</v>
      </c>
      <c r="C430" s="109" t="s">
        <v>548</v>
      </c>
      <c r="D430" s="105" t="s">
        <v>542</v>
      </c>
      <c r="E430" s="105">
        <v>2000</v>
      </c>
      <c r="F430" s="132"/>
      <c r="G430" s="132"/>
    </row>
    <row r="431" spans="1:7" ht="17.25" customHeight="1">
      <c r="A431" s="40"/>
      <c r="B431" s="207">
        <f>SUM(B426:B430)</f>
        <v>26</v>
      </c>
      <c r="C431" s="207"/>
      <c r="D431" s="207"/>
      <c r="E431" s="207">
        <f>SUM(E426:E430)</f>
        <v>5397</v>
      </c>
      <c r="F431" s="132"/>
      <c r="G431" s="132"/>
    </row>
    <row r="432" spans="1:7" ht="17.25" customHeight="1">
      <c r="A432" s="269" t="s">
        <v>217</v>
      </c>
      <c r="B432" s="270"/>
      <c r="C432" s="271"/>
      <c r="D432" s="40"/>
      <c r="E432" s="39"/>
      <c r="F432" s="132"/>
      <c r="G432" s="132"/>
    </row>
    <row r="433" spans="1:7" ht="17.25" customHeight="1">
      <c r="A433" s="70">
        <v>7</v>
      </c>
      <c r="B433" s="60">
        <v>3</v>
      </c>
      <c r="C433" s="40" t="s">
        <v>224</v>
      </c>
      <c r="D433" s="70" t="s">
        <v>543</v>
      </c>
      <c r="E433" s="40">
        <v>150</v>
      </c>
      <c r="F433" s="132"/>
      <c r="G433" s="132"/>
    </row>
    <row r="434" spans="1:7" ht="17.25" customHeight="1">
      <c r="A434" s="40">
        <v>8</v>
      </c>
      <c r="B434" s="60">
        <v>11</v>
      </c>
      <c r="C434" s="133" t="s">
        <v>232</v>
      </c>
      <c r="D434" s="186" t="s">
        <v>647</v>
      </c>
      <c r="E434" s="40">
        <v>1229</v>
      </c>
      <c r="F434" s="132"/>
      <c r="G434" s="132"/>
    </row>
    <row r="435" spans="1:7" ht="17.25" customHeight="1">
      <c r="A435" s="40">
        <v>9</v>
      </c>
      <c r="B435" s="40">
        <v>6</v>
      </c>
      <c r="C435" s="133" t="s">
        <v>241</v>
      </c>
      <c r="D435" s="186" t="s">
        <v>648</v>
      </c>
      <c r="E435" s="40">
        <v>1229</v>
      </c>
      <c r="F435" s="132"/>
      <c r="G435" s="132"/>
    </row>
    <row r="436" spans="1:7" ht="17.25" customHeight="1">
      <c r="A436" s="140">
        <v>10</v>
      </c>
      <c r="B436" s="105">
        <v>9</v>
      </c>
      <c r="C436" s="109" t="s">
        <v>244</v>
      </c>
      <c r="D436" s="105" t="s">
        <v>545</v>
      </c>
      <c r="E436" s="105">
        <v>2357</v>
      </c>
      <c r="F436" s="132"/>
      <c r="G436" s="132"/>
    </row>
    <row r="437" spans="1:7" ht="17.25" customHeight="1">
      <c r="A437" s="40"/>
      <c r="B437" s="207">
        <f>SUM(B433:B436)</f>
        <v>29</v>
      </c>
      <c r="C437" s="207"/>
      <c r="D437" s="207"/>
      <c r="E437" s="207">
        <f>SUM(E433:E436)</f>
        <v>4965</v>
      </c>
      <c r="F437" s="132"/>
      <c r="G437" s="132"/>
    </row>
    <row r="438" spans="1:7" ht="17.25" customHeight="1">
      <c r="A438" s="269" t="s">
        <v>229</v>
      </c>
      <c r="B438" s="270"/>
      <c r="C438" s="271"/>
      <c r="D438" s="207"/>
      <c r="E438" s="210"/>
      <c r="F438" s="132"/>
      <c r="G438" s="132"/>
    </row>
    <row r="439" spans="1:7" ht="17.25" customHeight="1">
      <c r="A439" s="70">
        <v>1</v>
      </c>
      <c r="B439" s="91">
        <v>3</v>
      </c>
      <c r="C439" s="91" t="s">
        <v>225</v>
      </c>
      <c r="D439" s="70" t="s">
        <v>544</v>
      </c>
      <c r="E439" s="70">
        <v>186</v>
      </c>
      <c r="F439" s="132"/>
      <c r="G439" s="132"/>
    </row>
    <row r="440" spans="1:7" ht="17.25" customHeight="1">
      <c r="A440" s="40"/>
      <c r="B440" s="207">
        <f>B439</f>
        <v>3</v>
      </c>
      <c r="C440" s="207"/>
      <c r="D440" s="207"/>
      <c r="E440" s="207">
        <f>E439</f>
        <v>186</v>
      </c>
      <c r="F440" s="132"/>
      <c r="G440" s="132"/>
    </row>
    <row r="441" spans="1:7" ht="17.25" customHeight="1">
      <c r="A441" s="207" t="s">
        <v>14</v>
      </c>
      <c r="B441" s="126">
        <f>B431+B437+B440</f>
        <v>58</v>
      </c>
      <c r="C441" s="126"/>
      <c r="D441" s="126"/>
      <c r="E441" s="126">
        <f>E431+E437+E440</f>
        <v>10548</v>
      </c>
      <c r="F441" s="126"/>
      <c r="G441" s="126"/>
    </row>
    <row r="442" spans="1:7" ht="17.25" customHeight="1">
      <c r="A442" s="210"/>
      <c r="B442" s="127"/>
      <c r="C442" s="128"/>
      <c r="D442" s="126"/>
      <c r="E442" s="126"/>
      <c r="F442" s="132"/>
      <c r="G442" s="132"/>
    </row>
    <row r="443" spans="1:7" ht="31.5" customHeight="1">
      <c r="A443" s="262" t="s">
        <v>560</v>
      </c>
      <c r="B443" s="264"/>
      <c r="C443" s="264"/>
      <c r="D443" s="264"/>
      <c r="E443" s="264"/>
      <c r="F443" s="132"/>
      <c r="G443" s="132"/>
    </row>
    <row r="444" spans="1:7" ht="24" customHeight="1">
      <c r="A444" s="40" t="s">
        <v>212</v>
      </c>
      <c r="B444" s="40" t="s">
        <v>213</v>
      </c>
      <c r="C444" s="40" t="s">
        <v>214</v>
      </c>
      <c r="D444" s="40" t="s">
        <v>215</v>
      </c>
      <c r="E444" s="39" t="s">
        <v>216</v>
      </c>
      <c r="F444" s="132"/>
      <c r="G444" s="132"/>
    </row>
    <row r="445" spans="1:7" ht="17.25" customHeight="1">
      <c r="A445" s="269" t="s">
        <v>223</v>
      </c>
      <c r="B445" s="270"/>
      <c r="C445" s="271"/>
      <c r="D445" s="40"/>
      <c r="E445" s="39"/>
      <c r="F445" s="132"/>
      <c r="G445" s="132"/>
    </row>
    <row r="446" spans="1:7" ht="17.25" customHeight="1">
      <c r="A446" s="190" t="s">
        <v>549</v>
      </c>
      <c r="B446" s="191">
        <v>1</v>
      </c>
      <c r="C446" s="106" t="s">
        <v>225</v>
      </c>
      <c r="D446" s="191" t="s">
        <v>550</v>
      </c>
      <c r="E446" s="191">
        <v>85</v>
      </c>
      <c r="F446" s="132"/>
      <c r="G446" s="132"/>
    </row>
    <row r="447" spans="1:7" ht="17.25" customHeight="1">
      <c r="A447" s="106" t="s">
        <v>551</v>
      </c>
      <c r="B447" s="106">
        <v>2</v>
      </c>
      <c r="C447" s="106" t="s">
        <v>228</v>
      </c>
      <c r="D447" s="192" t="s">
        <v>552</v>
      </c>
      <c r="E447" s="106">
        <v>244</v>
      </c>
      <c r="F447" s="132"/>
      <c r="G447" s="132"/>
    </row>
    <row r="448" spans="1:7" ht="17.25" customHeight="1">
      <c r="A448" s="40"/>
      <c r="B448" s="207">
        <f>SUM(B446:B447)</f>
        <v>3</v>
      </c>
      <c r="C448" s="207"/>
      <c r="D448" s="207"/>
      <c r="E448" s="207">
        <f>SUM(E446:E447)</f>
        <v>329</v>
      </c>
      <c r="F448" s="132"/>
      <c r="G448" s="132"/>
    </row>
    <row r="449" spans="1:7" ht="17.25" customHeight="1">
      <c r="A449" s="269" t="s">
        <v>217</v>
      </c>
      <c r="B449" s="270"/>
      <c r="C449" s="271"/>
      <c r="D449" s="40"/>
      <c r="E449" s="39"/>
      <c r="F449" s="132"/>
      <c r="G449" s="132"/>
    </row>
    <row r="450" spans="1:7" ht="17.25" customHeight="1">
      <c r="A450" s="110" t="s">
        <v>553</v>
      </c>
      <c r="B450" s="60">
        <v>2</v>
      </c>
      <c r="C450" s="133" t="s">
        <v>232</v>
      </c>
      <c r="D450" s="70" t="s">
        <v>554</v>
      </c>
      <c r="E450" s="40">
        <v>234</v>
      </c>
      <c r="F450" s="132"/>
      <c r="G450" s="132"/>
    </row>
    <row r="451" spans="1:7" ht="17.25" customHeight="1">
      <c r="A451" s="110" t="s">
        <v>553</v>
      </c>
      <c r="B451" s="40">
        <v>2</v>
      </c>
      <c r="C451" s="208" t="s">
        <v>241</v>
      </c>
      <c r="D451" s="40" t="s">
        <v>555</v>
      </c>
      <c r="E451" s="40">
        <v>420</v>
      </c>
      <c r="F451" s="132"/>
      <c r="G451" s="132"/>
    </row>
    <row r="452" spans="1:7" ht="17.25" customHeight="1">
      <c r="A452" s="110" t="s">
        <v>553</v>
      </c>
      <c r="B452" s="40">
        <v>2</v>
      </c>
      <c r="C452" s="208" t="s">
        <v>556</v>
      </c>
      <c r="D452" s="40" t="s">
        <v>557</v>
      </c>
      <c r="E452" s="40">
        <v>555</v>
      </c>
      <c r="F452" s="132"/>
      <c r="G452" s="132"/>
    </row>
    <row r="453" spans="1:7" ht="17.25" customHeight="1">
      <c r="A453" s="193" t="s">
        <v>558</v>
      </c>
      <c r="B453" s="91">
        <v>2</v>
      </c>
      <c r="C453" s="70" t="s">
        <v>228</v>
      </c>
      <c r="D453" s="70" t="s">
        <v>559</v>
      </c>
      <c r="E453" s="70">
        <v>165</v>
      </c>
      <c r="F453" s="132"/>
      <c r="G453" s="132"/>
    </row>
    <row r="454" spans="1:7" ht="17.25" customHeight="1">
      <c r="A454" s="40"/>
      <c r="B454" s="207">
        <f>SUM(B450:B453)</f>
        <v>8</v>
      </c>
      <c r="C454" s="207"/>
      <c r="D454" s="207"/>
      <c r="E454" s="207">
        <f>SUM(E450:E453)</f>
        <v>1374</v>
      </c>
      <c r="F454" s="132"/>
      <c r="G454" s="132"/>
    </row>
    <row r="455" spans="1:7" ht="17.25" customHeight="1">
      <c r="A455" s="207" t="s">
        <v>14</v>
      </c>
      <c r="B455" s="126">
        <f>B448+B454</f>
        <v>11</v>
      </c>
      <c r="C455" s="126"/>
      <c r="D455" s="126"/>
      <c r="E455" s="126">
        <f>E448+E454</f>
        <v>1703</v>
      </c>
      <c r="F455" s="126"/>
      <c r="G455" s="126"/>
    </row>
    <row r="456" spans="1:7" ht="17.25" customHeight="1">
      <c r="A456" s="210"/>
      <c r="B456" s="127"/>
      <c r="C456" s="128"/>
      <c r="D456" s="126"/>
      <c r="E456" s="126"/>
      <c r="F456" s="200"/>
      <c r="G456" s="200"/>
    </row>
    <row r="457" spans="1:7" ht="27.75" customHeight="1">
      <c r="A457" s="262" t="s">
        <v>593</v>
      </c>
      <c r="B457" s="264"/>
      <c r="C457" s="264"/>
      <c r="D457" s="264"/>
      <c r="E457" s="264"/>
      <c r="F457" s="200"/>
      <c r="G457" s="200"/>
    </row>
    <row r="458" spans="1:7" ht="26.25" customHeight="1">
      <c r="A458" s="40" t="s">
        <v>212</v>
      </c>
      <c r="B458" s="40" t="s">
        <v>213</v>
      </c>
      <c r="C458" s="40" t="s">
        <v>214</v>
      </c>
      <c r="D458" s="40" t="s">
        <v>215</v>
      </c>
      <c r="E458" s="39" t="s">
        <v>216</v>
      </c>
      <c r="F458" s="200"/>
      <c r="G458" s="200"/>
    </row>
    <row r="459" spans="1:7" ht="17.25" customHeight="1">
      <c r="A459" s="269" t="s">
        <v>223</v>
      </c>
      <c r="B459" s="270"/>
      <c r="C459" s="271"/>
      <c r="D459" s="40"/>
      <c r="E459" s="39"/>
      <c r="F459" s="200"/>
      <c r="G459" s="200"/>
    </row>
    <row r="460" spans="1:7" ht="17.25" customHeight="1">
      <c r="A460" s="91">
        <v>1294</v>
      </c>
      <c r="B460" s="91">
        <v>2</v>
      </c>
      <c r="C460" s="91" t="s">
        <v>224</v>
      </c>
      <c r="D460" s="70" t="s">
        <v>570</v>
      </c>
      <c r="E460" s="91">
        <v>110</v>
      </c>
      <c r="F460" s="200"/>
      <c r="G460" s="200"/>
    </row>
    <row r="461" spans="1:7" ht="30" customHeight="1">
      <c r="A461" s="70">
        <v>1295</v>
      </c>
      <c r="B461" s="91">
        <v>18</v>
      </c>
      <c r="C461" s="91" t="s">
        <v>572</v>
      </c>
      <c r="D461" s="70" t="s">
        <v>571</v>
      </c>
      <c r="E461" s="70">
        <v>1398</v>
      </c>
      <c r="F461" s="200"/>
      <c r="G461" s="200"/>
    </row>
    <row r="462" spans="1:7" ht="17.25" customHeight="1">
      <c r="A462" s="40"/>
      <c r="B462" s="207">
        <f>SUM(B460:B461)</f>
        <v>20</v>
      </c>
      <c r="C462" s="207"/>
      <c r="D462" s="207"/>
      <c r="E462" s="207">
        <f>SUM(E460:E461)</f>
        <v>1508</v>
      </c>
      <c r="F462" s="200"/>
      <c r="G462" s="200"/>
    </row>
    <row r="463" spans="1:7" ht="17.25" customHeight="1">
      <c r="A463" s="269" t="s">
        <v>217</v>
      </c>
      <c r="B463" s="270"/>
      <c r="C463" s="271"/>
      <c r="D463" s="40"/>
      <c r="E463" s="39"/>
      <c r="F463" s="200"/>
      <c r="G463" s="200"/>
    </row>
    <row r="464" spans="1:7" ht="31.5" customHeight="1">
      <c r="A464" s="139">
        <v>1298</v>
      </c>
      <c r="B464" s="60">
        <v>28</v>
      </c>
      <c r="C464" s="208" t="s">
        <v>573</v>
      </c>
      <c r="D464" s="40" t="s">
        <v>575</v>
      </c>
      <c r="E464" s="105">
        <v>8400</v>
      </c>
      <c r="F464" s="200"/>
      <c r="G464" s="200"/>
    </row>
    <row r="465" spans="1:7" ht="17.25" customHeight="1">
      <c r="A465" s="137">
        <v>1299</v>
      </c>
      <c r="B465" s="91">
        <v>7</v>
      </c>
      <c r="C465" s="208" t="s">
        <v>574</v>
      </c>
      <c r="D465" s="40" t="s">
        <v>576</v>
      </c>
      <c r="E465" s="105">
        <v>3500</v>
      </c>
      <c r="F465" s="200"/>
      <c r="G465" s="200"/>
    </row>
    <row r="466" spans="1:7" ht="30.75" customHeight="1">
      <c r="A466" s="137">
        <v>1300</v>
      </c>
      <c r="B466" s="91">
        <v>9</v>
      </c>
      <c r="C466" s="242" t="s">
        <v>232</v>
      </c>
      <c r="D466" s="40" t="s">
        <v>577</v>
      </c>
      <c r="E466" s="105">
        <v>1120</v>
      </c>
      <c r="F466" s="200"/>
      <c r="G466" s="200"/>
    </row>
    <row r="467" spans="1:7" ht="27" customHeight="1">
      <c r="A467" s="137">
        <v>1301</v>
      </c>
      <c r="B467" s="91">
        <v>6</v>
      </c>
      <c r="C467" s="242" t="s">
        <v>241</v>
      </c>
      <c r="D467" s="40" t="s">
        <v>578</v>
      </c>
      <c r="E467" s="105">
        <v>1280</v>
      </c>
      <c r="F467" s="200"/>
      <c r="G467" s="200"/>
    </row>
    <row r="468" spans="1:7" ht="30" customHeight="1">
      <c r="A468" s="137">
        <v>1302</v>
      </c>
      <c r="B468" s="91">
        <v>8</v>
      </c>
      <c r="C468" s="242" t="s">
        <v>244</v>
      </c>
      <c r="D468" s="40" t="s">
        <v>579</v>
      </c>
      <c r="E468" s="105">
        <v>2175</v>
      </c>
      <c r="F468" s="200"/>
      <c r="G468" s="200"/>
    </row>
    <row r="469" spans="1:7" ht="17.25" customHeight="1">
      <c r="A469" s="139">
        <v>1296</v>
      </c>
      <c r="B469" s="60">
        <v>25</v>
      </c>
      <c r="C469" s="40" t="s">
        <v>218</v>
      </c>
      <c r="D469" s="106" t="s">
        <v>226</v>
      </c>
      <c r="E469" s="60">
        <v>1418</v>
      </c>
      <c r="F469" s="200"/>
      <c r="G469" s="200"/>
    </row>
    <row r="470" spans="1:7" ht="17.25" customHeight="1">
      <c r="A470" s="243">
        <v>1297</v>
      </c>
      <c r="B470" s="91">
        <v>11</v>
      </c>
      <c r="C470" s="40" t="s">
        <v>218</v>
      </c>
      <c r="D470" s="106" t="s">
        <v>470</v>
      </c>
      <c r="E470" s="91">
        <v>630</v>
      </c>
      <c r="F470" s="200"/>
      <c r="G470" s="200"/>
    </row>
    <row r="471" spans="1:7" ht="17.25" customHeight="1">
      <c r="A471" s="40"/>
      <c r="B471" s="207">
        <f>SUM(B464:B470)</f>
        <v>94</v>
      </c>
      <c r="C471" s="207"/>
      <c r="D471" s="207"/>
      <c r="E471" s="207">
        <f>SUM(E464:E470)</f>
        <v>18523</v>
      </c>
      <c r="F471" s="200"/>
      <c r="G471" s="200"/>
    </row>
    <row r="472" spans="1:7" ht="17.25" customHeight="1">
      <c r="A472" s="207" t="s">
        <v>14</v>
      </c>
      <c r="B472" s="126">
        <f>B462+B471</f>
        <v>114</v>
      </c>
      <c r="C472" s="126"/>
      <c r="D472" s="126"/>
      <c r="E472" s="126">
        <f>E462+E471</f>
        <v>20031</v>
      </c>
      <c r="F472" s="200"/>
      <c r="G472" s="200"/>
    </row>
    <row r="473" spans="1:7" ht="17.25" customHeight="1">
      <c r="A473" s="210"/>
      <c r="B473" s="127"/>
      <c r="C473" s="128"/>
      <c r="D473" s="126"/>
      <c r="E473" s="126"/>
      <c r="F473" s="200"/>
      <c r="G473" s="200"/>
    </row>
    <row r="474" spans="1:7" ht="28.5" customHeight="1">
      <c r="A474" s="262" t="s">
        <v>594</v>
      </c>
      <c r="B474" s="264"/>
      <c r="C474" s="264"/>
      <c r="D474" s="264"/>
      <c r="E474" s="264"/>
      <c r="F474" s="200"/>
      <c r="G474" s="200"/>
    </row>
    <row r="475" spans="1:7" ht="22.5" customHeight="1">
      <c r="A475" s="40" t="s">
        <v>212</v>
      </c>
      <c r="B475" s="40" t="s">
        <v>213</v>
      </c>
      <c r="C475" s="40" t="s">
        <v>214</v>
      </c>
      <c r="D475" s="40" t="s">
        <v>215</v>
      </c>
      <c r="E475" s="39" t="s">
        <v>216</v>
      </c>
      <c r="F475" s="200"/>
      <c r="G475" s="200"/>
    </row>
    <row r="476" spans="1:7" ht="17.25" customHeight="1">
      <c r="A476" s="269" t="s">
        <v>217</v>
      </c>
      <c r="B476" s="270"/>
      <c r="C476" s="271"/>
      <c r="D476" s="207"/>
      <c r="E476" s="210"/>
      <c r="F476" s="200"/>
      <c r="G476" s="200"/>
    </row>
    <row r="477" spans="1:7" ht="17.25" customHeight="1">
      <c r="A477" s="244">
        <v>116</v>
      </c>
      <c r="B477" s="245">
        <v>8</v>
      </c>
      <c r="C477" s="246" t="s">
        <v>437</v>
      </c>
      <c r="D477" s="247" t="s">
        <v>583</v>
      </c>
      <c r="E477" s="248">
        <v>904</v>
      </c>
      <c r="F477" s="200"/>
      <c r="G477" s="200"/>
    </row>
    <row r="478" spans="1:7" ht="35.25" customHeight="1">
      <c r="A478" s="112">
        <v>117</v>
      </c>
      <c r="B478" s="113">
        <v>23</v>
      </c>
      <c r="C478" s="125" t="s">
        <v>241</v>
      </c>
      <c r="D478" s="118" t="s">
        <v>580</v>
      </c>
      <c r="E478" s="117">
        <v>4905</v>
      </c>
      <c r="F478" s="200"/>
      <c r="G478" s="200"/>
    </row>
    <row r="479" spans="1:7" ht="17.25" customHeight="1">
      <c r="A479" s="112">
        <v>111</v>
      </c>
      <c r="B479" s="113">
        <v>25</v>
      </c>
      <c r="C479" s="114" t="s">
        <v>218</v>
      </c>
      <c r="D479" s="118" t="s">
        <v>226</v>
      </c>
      <c r="E479" s="117">
        <v>1122</v>
      </c>
      <c r="F479" s="200"/>
      <c r="G479" s="200"/>
    </row>
    <row r="480" spans="1:7" ht="17.25" customHeight="1">
      <c r="A480" s="113">
        <v>112</v>
      </c>
      <c r="B480" s="113">
        <v>16</v>
      </c>
      <c r="C480" s="114" t="s">
        <v>218</v>
      </c>
      <c r="D480" s="118" t="s">
        <v>581</v>
      </c>
      <c r="E480" s="114">
        <v>732</v>
      </c>
      <c r="F480" s="200"/>
      <c r="G480" s="200"/>
    </row>
    <row r="481" spans="1:7" ht="17.25" customHeight="1">
      <c r="A481" s="112">
        <v>113</v>
      </c>
      <c r="B481" s="113">
        <v>25</v>
      </c>
      <c r="C481" s="114" t="s">
        <v>218</v>
      </c>
      <c r="D481" s="118" t="s">
        <v>226</v>
      </c>
      <c r="E481" s="105">
        <v>1122</v>
      </c>
      <c r="F481" s="200"/>
      <c r="G481" s="200"/>
    </row>
    <row r="482" spans="1:7" ht="17.25" customHeight="1">
      <c r="A482" s="113">
        <v>114</v>
      </c>
      <c r="B482" s="113">
        <v>25</v>
      </c>
      <c r="C482" s="114" t="s">
        <v>218</v>
      </c>
      <c r="D482" s="118" t="s">
        <v>226</v>
      </c>
      <c r="E482" s="105">
        <v>1132</v>
      </c>
      <c r="F482" s="200"/>
      <c r="G482" s="200"/>
    </row>
    <row r="483" spans="1:7" ht="17.25" customHeight="1">
      <c r="A483" s="113">
        <v>115</v>
      </c>
      <c r="B483" s="113">
        <v>10</v>
      </c>
      <c r="C483" s="114" t="s">
        <v>218</v>
      </c>
      <c r="D483" s="118" t="s">
        <v>582</v>
      </c>
      <c r="E483" s="105">
        <v>449</v>
      </c>
      <c r="F483" s="200"/>
      <c r="G483" s="200"/>
    </row>
    <row r="484" spans="1:7" ht="17.25" customHeight="1">
      <c r="A484" s="201"/>
      <c r="B484" s="203">
        <f>SUM(B477:B483)</f>
        <v>132</v>
      </c>
      <c r="C484" s="203"/>
      <c r="D484" s="203"/>
      <c r="E484" s="203">
        <f>SUM(E477:E483)</f>
        <v>10366</v>
      </c>
      <c r="F484" s="200"/>
      <c r="G484" s="200"/>
    </row>
    <row r="485" spans="1:7" ht="17.25" customHeight="1">
      <c r="A485" s="207" t="s">
        <v>14</v>
      </c>
      <c r="B485" s="126">
        <f>SUM(B477:B483)</f>
        <v>132</v>
      </c>
      <c r="C485" s="126"/>
      <c r="D485" s="126"/>
      <c r="E485" s="126">
        <f>SUM(E477:E483)</f>
        <v>10366</v>
      </c>
      <c r="F485" s="200"/>
      <c r="G485" s="200"/>
    </row>
    <row r="486" spans="1:7" ht="17.25" customHeight="1">
      <c r="A486" s="210"/>
      <c r="B486" s="127"/>
      <c r="C486" s="128"/>
      <c r="D486" s="126"/>
      <c r="E486" s="126"/>
      <c r="F486" s="200"/>
      <c r="G486" s="200"/>
    </row>
    <row r="487" spans="1:7" ht="29.25" customHeight="1">
      <c r="A487" s="262" t="s">
        <v>641</v>
      </c>
      <c r="B487" s="264"/>
      <c r="C487" s="264"/>
      <c r="D487" s="264"/>
      <c r="E487" s="264"/>
      <c r="F487" s="200"/>
      <c r="G487" s="200"/>
    </row>
    <row r="488" spans="1:7" ht="25.5" customHeight="1">
      <c r="A488" s="40" t="s">
        <v>212</v>
      </c>
      <c r="B488" s="40" t="s">
        <v>213</v>
      </c>
      <c r="C488" s="40" t="s">
        <v>214</v>
      </c>
      <c r="D488" s="40" t="s">
        <v>215</v>
      </c>
      <c r="E488" s="39" t="s">
        <v>216</v>
      </c>
      <c r="F488" s="200"/>
      <c r="G488" s="200"/>
    </row>
    <row r="489" spans="1:7" ht="17.25" customHeight="1">
      <c r="A489" s="269" t="s">
        <v>223</v>
      </c>
      <c r="B489" s="270"/>
      <c r="C489" s="271"/>
      <c r="D489" s="40"/>
      <c r="E489" s="39"/>
      <c r="F489" s="200"/>
      <c r="G489" s="200"/>
    </row>
    <row r="490" spans="1:8" s="202" customFormat="1" ht="27" customHeight="1">
      <c r="A490" s="70">
        <v>1407</v>
      </c>
      <c r="B490" s="91">
        <v>25</v>
      </c>
      <c r="C490" s="91" t="s">
        <v>225</v>
      </c>
      <c r="D490" s="70" t="s">
        <v>584</v>
      </c>
      <c r="E490" s="70">
        <v>1889</v>
      </c>
      <c r="F490" s="200"/>
      <c r="G490" s="200"/>
      <c r="H490" s="100"/>
    </row>
    <row r="491" spans="1:8" s="202" customFormat="1" ht="46.5" customHeight="1">
      <c r="A491" s="70">
        <v>1408</v>
      </c>
      <c r="B491" s="91">
        <v>25</v>
      </c>
      <c r="C491" s="91" t="s">
        <v>225</v>
      </c>
      <c r="D491" s="70" t="s">
        <v>591</v>
      </c>
      <c r="E491" s="40">
        <v>1872</v>
      </c>
      <c r="F491" s="200"/>
      <c r="G491" s="200"/>
      <c r="H491" s="100"/>
    </row>
    <row r="492" spans="1:8" s="202" customFormat="1" ht="27" customHeight="1">
      <c r="A492" s="70">
        <v>1409</v>
      </c>
      <c r="B492" s="91">
        <v>25</v>
      </c>
      <c r="C492" s="91" t="s">
        <v>225</v>
      </c>
      <c r="D492" s="40" t="s">
        <v>585</v>
      </c>
      <c r="E492" s="40">
        <v>1911</v>
      </c>
      <c r="F492" s="200"/>
      <c r="G492" s="200"/>
      <c r="H492" s="100"/>
    </row>
    <row r="493" spans="1:8" s="202" customFormat="1" ht="27" customHeight="1">
      <c r="A493" s="70">
        <v>1410</v>
      </c>
      <c r="B493" s="91">
        <v>25</v>
      </c>
      <c r="C493" s="91" t="s">
        <v>225</v>
      </c>
      <c r="D493" s="40" t="s">
        <v>586</v>
      </c>
      <c r="E493" s="40">
        <v>1867</v>
      </c>
      <c r="F493" s="200"/>
      <c r="G493" s="200"/>
      <c r="H493" s="100"/>
    </row>
    <row r="494" spans="1:8" s="202" customFormat="1" ht="42.75" customHeight="1">
      <c r="A494" s="70">
        <v>1411</v>
      </c>
      <c r="B494" s="91">
        <v>25</v>
      </c>
      <c r="C494" s="91" t="s">
        <v>225</v>
      </c>
      <c r="D494" s="40" t="s">
        <v>587</v>
      </c>
      <c r="E494" s="40">
        <v>1867</v>
      </c>
      <c r="F494" s="200"/>
      <c r="G494" s="200"/>
      <c r="H494" s="100"/>
    </row>
    <row r="495" spans="1:8" s="202" customFormat="1" ht="27" customHeight="1">
      <c r="A495" s="70">
        <v>1412</v>
      </c>
      <c r="B495" s="91">
        <v>25</v>
      </c>
      <c r="C495" s="91" t="s">
        <v>225</v>
      </c>
      <c r="D495" s="40" t="s">
        <v>588</v>
      </c>
      <c r="E495" s="40">
        <v>1911</v>
      </c>
      <c r="F495" s="200"/>
      <c r="G495" s="200"/>
      <c r="H495" s="100"/>
    </row>
    <row r="496" spans="1:8" s="202" customFormat="1" ht="27" customHeight="1">
      <c r="A496" s="70">
        <v>1413</v>
      </c>
      <c r="B496" s="91">
        <v>13</v>
      </c>
      <c r="C496" s="91" t="s">
        <v>225</v>
      </c>
      <c r="D496" s="40" t="s">
        <v>589</v>
      </c>
      <c r="E496" s="40">
        <v>972</v>
      </c>
      <c r="F496" s="200"/>
      <c r="G496" s="200"/>
      <c r="H496" s="100"/>
    </row>
    <row r="497" spans="1:7" ht="17.25" customHeight="1">
      <c r="A497" s="40"/>
      <c r="B497" s="207">
        <f>SUM(B490:B496)</f>
        <v>163</v>
      </c>
      <c r="C497" s="207"/>
      <c r="D497" s="207"/>
      <c r="E497" s="207">
        <f>SUM(E490:E496)</f>
        <v>12289</v>
      </c>
      <c r="F497" s="200"/>
      <c r="G497" s="200"/>
    </row>
    <row r="498" spans="1:7" ht="17.25" customHeight="1">
      <c r="A498" s="269" t="s">
        <v>217</v>
      </c>
      <c r="B498" s="270"/>
      <c r="C498" s="271"/>
      <c r="D498" s="40"/>
      <c r="E498" s="39"/>
      <c r="F498" s="200"/>
      <c r="G498" s="200"/>
    </row>
    <row r="499" spans="1:7" ht="17.25" customHeight="1">
      <c r="A499" s="40">
        <v>1414</v>
      </c>
      <c r="B499" s="40">
        <v>15</v>
      </c>
      <c r="C499" s="208" t="s">
        <v>590</v>
      </c>
      <c r="D499" s="40" t="s">
        <v>592</v>
      </c>
      <c r="E499" s="40">
        <v>1648</v>
      </c>
      <c r="F499" s="200"/>
      <c r="G499" s="200"/>
    </row>
    <row r="500" spans="1:7" ht="17.25" customHeight="1">
      <c r="A500" s="40"/>
      <c r="B500" s="207">
        <f>SUM(B499:B499)</f>
        <v>15</v>
      </c>
      <c r="C500" s="207"/>
      <c r="D500" s="207"/>
      <c r="E500" s="207">
        <f>SUM(E499:E499)</f>
        <v>1648</v>
      </c>
      <c r="F500" s="200"/>
      <c r="G500" s="200"/>
    </row>
    <row r="501" spans="1:7" ht="17.25" customHeight="1">
      <c r="A501" s="207" t="s">
        <v>14</v>
      </c>
      <c r="B501" s="126">
        <f>B497+B500</f>
        <v>178</v>
      </c>
      <c r="C501" s="126"/>
      <c r="D501" s="126"/>
      <c r="E501" s="126">
        <f>E497+E500</f>
        <v>13937</v>
      </c>
      <c r="F501" s="200"/>
      <c r="G501" s="200"/>
    </row>
    <row r="502" spans="1:7" ht="17.25" customHeight="1">
      <c r="A502" s="210"/>
      <c r="B502" s="127"/>
      <c r="C502" s="128"/>
      <c r="D502" s="126"/>
      <c r="E502" s="126"/>
      <c r="F502" s="200"/>
      <c r="G502" s="200"/>
    </row>
    <row r="503" spans="1:7" ht="26.25" customHeight="1">
      <c r="A503" s="262" t="s">
        <v>657</v>
      </c>
      <c r="B503" s="264"/>
      <c r="C503" s="264"/>
      <c r="D503" s="264"/>
      <c r="E503" s="264"/>
      <c r="F503" s="200"/>
      <c r="G503" s="200"/>
    </row>
    <row r="504" spans="1:7" ht="28.5" customHeight="1">
      <c r="A504" s="40" t="s">
        <v>212</v>
      </c>
      <c r="B504" s="40" t="s">
        <v>213</v>
      </c>
      <c r="C504" s="40" t="s">
        <v>214</v>
      </c>
      <c r="D504" s="40" t="s">
        <v>215</v>
      </c>
      <c r="E504" s="39" t="s">
        <v>216</v>
      </c>
      <c r="F504" s="200"/>
      <c r="G504" s="200"/>
    </row>
    <row r="505" spans="1:7" ht="17.25" customHeight="1">
      <c r="A505" s="269" t="s">
        <v>223</v>
      </c>
      <c r="B505" s="270"/>
      <c r="C505" s="271"/>
      <c r="D505" s="40"/>
      <c r="E505" s="39"/>
      <c r="F505" s="200"/>
      <c r="G505" s="200"/>
    </row>
    <row r="506" spans="1:7" ht="17.25" customHeight="1">
      <c r="A506" s="60" t="s">
        <v>595</v>
      </c>
      <c r="B506" s="60">
        <v>11</v>
      </c>
      <c r="C506" s="60" t="s">
        <v>224</v>
      </c>
      <c r="D506" s="106" t="s">
        <v>596</v>
      </c>
      <c r="E506" s="186">
        <v>653.7</v>
      </c>
      <c r="F506" s="200"/>
      <c r="G506" s="200"/>
    </row>
    <row r="507" spans="1:7" ht="17.25" customHeight="1">
      <c r="A507" s="60" t="s">
        <v>597</v>
      </c>
      <c r="B507" s="60">
        <v>3</v>
      </c>
      <c r="C507" s="60" t="s">
        <v>218</v>
      </c>
      <c r="D507" s="106" t="s">
        <v>598</v>
      </c>
      <c r="E507" s="186">
        <v>235.05</v>
      </c>
      <c r="F507" s="200"/>
      <c r="G507" s="200"/>
    </row>
    <row r="508" spans="1:7" ht="17.25" customHeight="1">
      <c r="A508" s="60" t="s">
        <v>599</v>
      </c>
      <c r="B508" s="60">
        <v>1</v>
      </c>
      <c r="C508" s="40" t="s">
        <v>604</v>
      </c>
      <c r="D508" s="106" t="s">
        <v>605</v>
      </c>
      <c r="E508" s="186">
        <v>50</v>
      </c>
      <c r="F508" s="200"/>
      <c r="G508" s="200"/>
    </row>
    <row r="509" spans="1:7" ht="17.25" customHeight="1">
      <c r="A509" s="40"/>
      <c r="B509" s="207">
        <f>SUM(B506:B508)</f>
        <v>15</v>
      </c>
      <c r="C509" s="207"/>
      <c r="D509" s="207"/>
      <c r="E509" s="207">
        <f>SUM(E506:E508)</f>
        <v>938.75</v>
      </c>
      <c r="F509" s="200"/>
      <c r="G509" s="200"/>
    </row>
    <row r="510" spans="1:7" ht="17.25" customHeight="1">
      <c r="A510" s="269" t="s">
        <v>217</v>
      </c>
      <c r="B510" s="270"/>
      <c r="C510" s="271"/>
      <c r="D510" s="40"/>
      <c r="E510" s="39"/>
      <c r="F510" s="200"/>
      <c r="G510" s="200"/>
    </row>
    <row r="511" spans="1:7" ht="17.25" customHeight="1">
      <c r="A511" s="60" t="s">
        <v>600</v>
      </c>
      <c r="B511" s="60">
        <v>5</v>
      </c>
      <c r="C511" s="40" t="s">
        <v>224</v>
      </c>
      <c r="D511" s="106" t="s">
        <v>601</v>
      </c>
      <c r="E511" s="186">
        <v>300</v>
      </c>
      <c r="F511" s="200"/>
      <c r="G511" s="200"/>
    </row>
    <row r="512" spans="1:7" ht="17.25" customHeight="1">
      <c r="A512" s="60" t="s">
        <v>602</v>
      </c>
      <c r="B512" s="60">
        <v>5</v>
      </c>
      <c r="C512" s="40" t="s">
        <v>609</v>
      </c>
      <c r="D512" s="106" t="s">
        <v>607</v>
      </c>
      <c r="E512" s="186">
        <v>304</v>
      </c>
      <c r="F512" s="200"/>
      <c r="G512" s="200"/>
    </row>
    <row r="513" spans="1:7" ht="17.25" customHeight="1">
      <c r="A513" s="60" t="s">
        <v>603</v>
      </c>
      <c r="B513" s="60">
        <v>4</v>
      </c>
      <c r="C513" s="40" t="s">
        <v>606</v>
      </c>
      <c r="D513" s="106" t="s">
        <v>608</v>
      </c>
      <c r="E513" s="186">
        <v>165</v>
      </c>
      <c r="F513" s="200"/>
      <c r="G513" s="200"/>
    </row>
    <row r="514" spans="1:7" ht="17.25" customHeight="1">
      <c r="A514" s="40"/>
      <c r="B514" s="207">
        <f>SUM(B511:B513)</f>
        <v>14</v>
      </c>
      <c r="C514" s="207"/>
      <c r="D514" s="207"/>
      <c r="E514" s="207">
        <f>SUM(E511:E513)</f>
        <v>769</v>
      </c>
      <c r="F514" s="200"/>
      <c r="G514" s="200"/>
    </row>
    <row r="515" spans="1:7" ht="17.25" customHeight="1">
      <c r="A515" s="207" t="s">
        <v>14</v>
      </c>
      <c r="B515" s="126">
        <f>B509+B514</f>
        <v>29</v>
      </c>
      <c r="C515" s="126"/>
      <c r="D515" s="126"/>
      <c r="E515" s="126">
        <f>E509+E514</f>
        <v>1707.75</v>
      </c>
      <c r="F515" s="200"/>
      <c r="G515" s="200"/>
    </row>
    <row r="516" spans="1:7" ht="17.25" customHeight="1">
      <c r="A516" s="210"/>
      <c r="B516" s="127"/>
      <c r="C516" s="128"/>
      <c r="D516" s="126"/>
      <c r="E516" s="126"/>
      <c r="F516" s="200"/>
      <c r="G516" s="200"/>
    </row>
    <row r="517" spans="1:7" ht="26.25" customHeight="1">
      <c r="A517" s="262" t="s">
        <v>658</v>
      </c>
      <c r="B517" s="264"/>
      <c r="C517" s="264"/>
      <c r="D517" s="264"/>
      <c r="E517" s="264"/>
      <c r="F517" s="200"/>
      <c r="G517" s="200"/>
    </row>
    <row r="518" spans="1:7" ht="26.25" customHeight="1">
      <c r="A518" s="40" t="s">
        <v>212</v>
      </c>
      <c r="B518" s="40" t="s">
        <v>213</v>
      </c>
      <c r="C518" s="40" t="s">
        <v>214</v>
      </c>
      <c r="D518" s="40" t="s">
        <v>215</v>
      </c>
      <c r="E518" s="39" t="s">
        <v>216</v>
      </c>
      <c r="F518" s="200"/>
      <c r="G518" s="200"/>
    </row>
    <row r="519" spans="1:7" ht="17.25" customHeight="1">
      <c r="A519" s="269" t="s">
        <v>223</v>
      </c>
      <c r="B519" s="270"/>
      <c r="C519" s="271"/>
      <c r="D519" s="40"/>
      <c r="E519" s="39"/>
      <c r="F519" s="200"/>
      <c r="G519" s="200"/>
    </row>
    <row r="520" spans="1:7" ht="17.25" customHeight="1">
      <c r="A520" s="249">
        <v>581</v>
      </c>
      <c r="B520" s="106">
        <v>1</v>
      </c>
      <c r="C520" s="106" t="s">
        <v>225</v>
      </c>
      <c r="D520" s="106" t="s">
        <v>610</v>
      </c>
      <c r="E520" s="106">
        <v>85</v>
      </c>
      <c r="F520" s="200"/>
      <c r="G520" s="200"/>
    </row>
    <row r="521" spans="1:7" ht="17.25" customHeight="1">
      <c r="A521" s="60">
        <v>583</v>
      </c>
      <c r="B521" s="186">
        <v>2</v>
      </c>
      <c r="C521" s="186" t="s">
        <v>228</v>
      </c>
      <c r="D521" s="106" t="s">
        <v>611</v>
      </c>
      <c r="E521" s="186">
        <v>223</v>
      </c>
      <c r="F521" s="200"/>
      <c r="G521" s="200"/>
    </row>
    <row r="522" spans="1:7" ht="17.25" customHeight="1">
      <c r="A522" s="40"/>
      <c r="B522" s="207">
        <f>SUM(B520:B521)</f>
        <v>3</v>
      </c>
      <c r="C522" s="207"/>
      <c r="D522" s="207"/>
      <c r="E522" s="207">
        <f>SUM(E520:E521)</f>
        <v>308</v>
      </c>
      <c r="F522" s="200"/>
      <c r="G522" s="200"/>
    </row>
    <row r="523" spans="1:7" ht="17.25" customHeight="1">
      <c r="A523" s="269" t="s">
        <v>217</v>
      </c>
      <c r="B523" s="270"/>
      <c r="C523" s="271"/>
      <c r="D523" s="40"/>
      <c r="E523" s="39"/>
      <c r="F523" s="200"/>
      <c r="G523" s="200"/>
    </row>
    <row r="524" spans="1:7" ht="17.25" customHeight="1">
      <c r="A524" s="60">
        <v>590</v>
      </c>
      <c r="B524" s="250">
        <v>3</v>
      </c>
      <c r="C524" s="251" t="s">
        <v>615</v>
      </c>
      <c r="D524" s="186" t="s">
        <v>612</v>
      </c>
      <c r="E524" s="186">
        <v>183</v>
      </c>
      <c r="F524" s="200"/>
      <c r="G524" s="200"/>
    </row>
    <row r="525" spans="1:7" ht="17.25" customHeight="1">
      <c r="A525" s="60">
        <v>584</v>
      </c>
      <c r="B525" s="186">
        <v>2</v>
      </c>
      <c r="C525" s="133" t="s">
        <v>244</v>
      </c>
      <c r="D525" s="106" t="s">
        <v>613</v>
      </c>
      <c r="E525" s="186">
        <v>555</v>
      </c>
      <c r="F525" s="200"/>
      <c r="G525" s="200"/>
    </row>
    <row r="526" spans="1:7" ht="17.25" customHeight="1">
      <c r="A526" s="60">
        <v>585</v>
      </c>
      <c r="B526" s="186">
        <v>10</v>
      </c>
      <c r="C526" s="133" t="s">
        <v>616</v>
      </c>
      <c r="D526" s="106" t="s">
        <v>621</v>
      </c>
      <c r="E526" s="186">
        <v>1500</v>
      </c>
      <c r="F526" s="200"/>
      <c r="G526" s="200"/>
    </row>
    <row r="527" spans="1:7" ht="17.25" customHeight="1">
      <c r="A527" s="60">
        <v>586</v>
      </c>
      <c r="B527" s="186">
        <v>20</v>
      </c>
      <c r="C527" s="133" t="s">
        <v>617</v>
      </c>
      <c r="D527" s="106" t="s">
        <v>622</v>
      </c>
      <c r="E527" s="186">
        <v>2100</v>
      </c>
      <c r="F527" s="200"/>
      <c r="G527" s="200"/>
    </row>
    <row r="528" spans="1:7" ht="17.25" customHeight="1">
      <c r="A528" s="60">
        <v>588</v>
      </c>
      <c r="B528" s="186">
        <v>12</v>
      </c>
      <c r="C528" s="133" t="s">
        <v>618</v>
      </c>
      <c r="D528" s="106" t="s">
        <v>623</v>
      </c>
      <c r="E528" s="186">
        <v>1260</v>
      </c>
      <c r="F528" s="200"/>
      <c r="G528" s="200"/>
    </row>
    <row r="529" spans="1:7" ht="17.25" customHeight="1">
      <c r="A529" s="60">
        <v>589</v>
      </c>
      <c r="B529" s="186">
        <v>4</v>
      </c>
      <c r="C529" s="133" t="s">
        <v>241</v>
      </c>
      <c r="D529" s="106" t="s">
        <v>614</v>
      </c>
      <c r="E529" s="186">
        <v>835</v>
      </c>
      <c r="F529" s="200"/>
      <c r="G529" s="200"/>
    </row>
    <row r="530" spans="1:7" ht="17.25" customHeight="1">
      <c r="A530" s="60">
        <v>579</v>
      </c>
      <c r="B530" s="186">
        <v>20</v>
      </c>
      <c r="C530" s="186" t="s">
        <v>225</v>
      </c>
      <c r="D530" s="186" t="s">
        <v>619</v>
      </c>
      <c r="E530" s="186">
        <v>1200</v>
      </c>
      <c r="F530" s="200"/>
      <c r="G530" s="200"/>
    </row>
    <row r="531" spans="1:7" ht="17.25" customHeight="1">
      <c r="A531" s="60">
        <v>580</v>
      </c>
      <c r="B531" s="186">
        <v>2</v>
      </c>
      <c r="C531" s="186" t="s">
        <v>225</v>
      </c>
      <c r="D531" s="186" t="s">
        <v>305</v>
      </c>
      <c r="E531" s="186">
        <v>120</v>
      </c>
      <c r="F531" s="200"/>
      <c r="G531" s="200"/>
    </row>
    <row r="532" spans="1:7" ht="17.25" customHeight="1">
      <c r="A532" s="40">
        <v>582</v>
      </c>
      <c r="B532" s="186">
        <v>4</v>
      </c>
      <c r="C532" s="251" t="s">
        <v>615</v>
      </c>
      <c r="D532" s="186" t="s">
        <v>620</v>
      </c>
      <c r="E532" s="186">
        <v>180</v>
      </c>
      <c r="F532" s="200"/>
      <c r="G532" s="200"/>
    </row>
    <row r="533" spans="1:7" ht="17.25" customHeight="1">
      <c r="A533" s="60">
        <v>591</v>
      </c>
      <c r="B533" s="186">
        <v>2</v>
      </c>
      <c r="C533" s="186" t="s">
        <v>228</v>
      </c>
      <c r="D533" s="186" t="s">
        <v>305</v>
      </c>
      <c r="E533" s="186">
        <v>158</v>
      </c>
      <c r="F533" s="200"/>
      <c r="G533" s="200"/>
    </row>
    <row r="534" spans="1:7" ht="17.25" customHeight="1">
      <c r="A534" s="40"/>
      <c r="B534" s="207">
        <f>SUM(B524:B533)</f>
        <v>79</v>
      </c>
      <c r="C534" s="207"/>
      <c r="D534" s="207"/>
      <c r="E534" s="207">
        <f>SUM(E524:E533)</f>
        <v>8091</v>
      </c>
      <c r="F534" s="200"/>
      <c r="G534" s="200"/>
    </row>
    <row r="535" spans="1:7" ht="17.25" customHeight="1">
      <c r="A535" s="269" t="s">
        <v>230</v>
      </c>
      <c r="B535" s="270"/>
      <c r="C535" s="271"/>
      <c r="D535" s="207"/>
      <c r="E535" s="207"/>
      <c r="F535" s="200"/>
      <c r="G535" s="200"/>
    </row>
    <row r="536" spans="1:7" ht="17.25" customHeight="1">
      <c r="A536" s="60">
        <v>587</v>
      </c>
      <c r="B536" s="186">
        <v>3</v>
      </c>
      <c r="C536" s="186" t="s">
        <v>225</v>
      </c>
      <c r="D536" s="186" t="s">
        <v>240</v>
      </c>
      <c r="E536" s="186">
        <v>120</v>
      </c>
      <c r="F536" s="200"/>
      <c r="G536" s="200"/>
    </row>
    <row r="537" spans="1:7" ht="17.25" customHeight="1">
      <c r="A537" s="40"/>
      <c r="B537" s="207">
        <f>B536</f>
        <v>3</v>
      </c>
      <c r="C537" s="207"/>
      <c r="D537" s="207"/>
      <c r="E537" s="207">
        <f>E536</f>
        <v>120</v>
      </c>
      <c r="F537" s="200"/>
      <c r="G537" s="200"/>
    </row>
    <row r="538" spans="1:7" ht="17.25" customHeight="1">
      <c r="A538" s="207" t="s">
        <v>14</v>
      </c>
      <c r="B538" s="126">
        <f>B522+B534+B537</f>
        <v>85</v>
      </c>
      <c r="C538" s="126"/>
      <c r="D538" s="126"/>
      <c r="E538" s="126">
        <f>E522+E534+E537</f>
        <v>8519</v>
      </c>
      <c r="F538" s="200"/>
      <c r="G538" s="200"/>
    </row>
    <row r="539" spans="1:7" ht="17.25" customHeight="1">
      <c r="A539" s="210"/>
      <c r="B539" s="127"/>
      <c r="C539" s="128"/>
      <c r="D539" s="126"/>
      <c r="E539" s="126"/>
      <c r="F539" s="200"/>
      <c r="G539" s="200"/>
    </row>
    <row r="540" spans="1:7" ht="29.25" customHeight="1">
      <c r="A540" s="262" t="s">
        <v>659</v>
      </c>
      <c r="B540" s="264"/>
      <c r="C540" s="264"/>
      <c r="D540" s="264"/>
      <c r="E540" s="264"/>
      <c r="F540" s="200"/>
      <c r="G540" s="200"/>
    </row>
    <row r="541" spans="1:7" ht="23.25" customHeight="1">
      <c r="A541" s="40" t="s">
        <v>212</v>
      </c>
      <c r="B541" s="40" t="s">
        <v>213</v>
      </c>
      <c r="C541" s="40" t="s">
        <v>214</v>
      </c>
      <c r="D541" s="40" t="s">
        <v>215</v>
      </c>
      <c r="E541" s="39" t="s">
        <v>216</v>
      </c>
      <c r="F541" s="200"/>
      <c r="G541" s="200"/>
    </row>
    <row r="542" spans="1:7" ht="17.25" customHeight="1">
      <c r="A542" s="269" t="s">
        <v>223</v>
      </c>
      <c r="B542" s="270"/>
      <c r="C542" s="271"/>
      <c r="D542" s="40"/>
      <c r="E542" s="39"/>
      <c r="F542" s="200"/>
      <c r="G542" s="200"/>
    </row>
    <row r="543" spans="1:7" ht="17.25" customHeight="1">
      <c r="A543" s="40">
        <v>909</v>
      </c>
      <c r="B543" s="60">
        <v>8</v>
      </c>
      <c r="C543" s="60" t="s">
        <v>225</v>
      </c>
      <c r="D543" s="40" t="s">
        <v>625</v>
      </c>
      <c r="E543" s="40">
        <v>638</v>
      </c>
      <c r="F543" s="200"/>
      <c r="G543" s="200"/>
    </row>
    <row r="544" spans="1:7" ht="17.25" customHeight="1">
      <c r="A544" s="40">
        <v>910</v>
      </c>
      <c r="B544" s="40">
        <v>5</v>
      </c>
      <c r="C544" s="40" t="s">
        <v>228</v>
      </c>
      <c r="D544" s="40" t="s">
        <v>626</v>
      </c>
      <c r="E544" s="40">
        <v>481</v>
      </c>
      <c r="F544" s="200"/>
      <c r="G544" s="200"/>
    </row>
    <row r="545" spans="1:7" ht="17.25" customHeight="1">
      <c r="A545" s="40"/>
      <c r="B545" s="207">
        <f>SUM(B543:B544)</f>
        <v>13</v>
      </c>
      <c r="C545" s="207"/>
      <c r="D545" s="207"/>
      <c r="E545" s="207">
        <f>SUM(E543:E544)</f>
        <v>1119</v>
      </c>
      <c r="F545" s="200"/>
      <c r="G545" s="200"/>
    </row>
    <row r="546" spans="1:7" ht="17.25" customHeight="1">
      <c r="A546" s="269" t="s">
        <v>217</v>
      </c>
      <c r="B546" s="270"/>
      <c r="C546" s="271"/>
      <c r="D546" s="40"/>
      <c r="E546" s="39"/>
      <c r="F546" s="200"/>
      <c r="G546" s="200"/>
    </row>
    <row r="547" spans="1:7" ht="17.25" customHeight="1">
      <c r="A547" s="40">
        <v>915</v>
      </c>
      <c r="B547" s="60">
        <v>4</v>
      </c>
      <c r="C547" s="133" t="s">
        <v>437</v>
      </c>
      <c r="D547" s="40" t="s">
        <v>627</v>
      </c>
      <c r="E547" s="40">
        <v>419</v>
      </c>
      <c r="F547" s="200"/>
      <c r="G547" s="200"/>
    </row>
    <row r="548" spans="1:7" ht="17.25" customHeight="1">
      <c r="A548" s="40">
        <v>916</v>
      </c>
      <c r="B548" s="60">
        <v>11</v>
      </c>
      <c r="C548" s="133" t="s">
        <v>232</v>
      </c>
      <c r="D548" s="40" t="s">
        <v>628</v>
      </c>
      <c r="E548" s="60">
        <v>1320</v>
      </c>
      <c r="F548" s="200"/>
      <c r="G548" s="200"/>
    </row>
    <row r="549" spans="1:7" ht="17.25" customHeight="1">
      <c r="A549" s="40">
        <v>917</v>
      </c>
      <c r="B549" s="40">
        <v>13</v>
      </c>
      <c r="C549" s="208" t="s">
        <v>241</v>
      </c>
      <c r="D549" s="40" t="s">
        <v>629</v>
      </c>
      <c r="E549" s="60">
        <v>2735</v>
      </c>
      <c r="F549" s="200"/>
      <c r="G549" s="200"/>
    </row>
    <row r="550" spans="1:7" ht="17.25" customHeight="1">
      <c r="A550" s="40">
        <v>918</v>
      </c>
      <c r="B550" s="60">
        <v>6</v>
      </c>
      <c r="C550" s="133" t="s">
        <v>244</v>
      </c>
      <c r="D550" s="70" t="s">
        <v>630</v>
      </c>
      <c r="E550" s="60">
        <v>1455</v>
      </c>
      <c r="F550" s="200"/>
      <c r="G550" s="200"/>
    </row>
    <row r="551" spans="1:7" ht="17.25" customHeight="1">
      <c r="A551" s="40">
        <v>911</v>
      </c>
      <c r="B551" s="60">
        <v>2</v>
      </c>
      <c r="C551" s="60" t="s">
        <v>224</v>
      </c>
      <c r="D551" s="106" t="s">
        <v>305</v>
      </c>
      <c r="E551" s="40">
        <v>106</v>
      </c>
      <c r="F551" s="200"/>
      <c r="G551" s="200"/>
    </row>
    <row r="552" spans="1:7" ht="17.25" customHeight="1">
      <c r="A552" s="40">
        <v>912</v>
      </c>
      <c r="B552" s="40">
        <v>16</v>
      </c>
      <c r="C552" s="40" t="s">
        <v>225</v>
      </c>
      <c r="D552" s="106" t="s">
        <v>646</v>
      </c>
      <c r="E552" s="40">
        <v>862</v>
      </c>
      <c r="F552" s="200"/>
      <c r="G552" s="200"/>
    </row>
    <row r="553" spans="1:7" ht="17.25" customHeight="1">
      <c r="A553" s="40">
        <v>913</v>
      </c>
      <c r="B553" s="40">
        <v>4</v>
      </c>
      <c r="C553" s="40" t="s">
        <v>228</v>
      </c>
      <c r="D553" s="106" t="s">
        <v>620</v>
      </c>
      <c r="E553" s="60">
        <v>332</v>
      </c>
      <c r="F553" s="200"/>
      <c r="G553" s="200"/>
    </row>
    <row r="554" spans="1:7" ht="17.25" customHeight="1">
      <c r="A554" s="40">
        <v>914</v>
      </c>
      <c r="B554" s="60">
        <v>6</v>
      </c>
      <c r="C554" s="133" t="s">
        <v>232</v>
      </c>
      <c r="D554" s="106" t="s">
        <v>631</v>
      </c>
      <c r="E554" s="60">
        <v>637</v>
      </c>
      <c r="F554" s="200"/>
      <c r="G554" s="200"/>
    </row>
    <row r="555" spans="1:7" ht="17.25" customHeight="1">
      <c r="A555" s="40"/>
      <c r="B555" s="207">
        <f>SUM(B547:B554)</f>
        <v>62</v>
      </c>
      <c r="C555" s="207"/>
      <c r="D555" s="207"/>
      <c r="E555" s="207">
        <f>SUM(E547:E554)</f>
        <v>7866</v>
      </c>
      <c r="F555" s="200"/>
      <c r="G555" s="200"/>
    </row>
    <row r="556" spans="1:7" ht="17.25" customHeight="1">
      <c r="A556" s="207" t="s">
        <v>14</v>
      </c>
      <c r="B556" s="126">
        <f>B545+B555</f>
        <v>75</v>
      </c>
      <c r="C556" s="126"/>
      <c r="D556" s="126"/>
      <c r="E556" s="126">
        <f>E545+E555</f>
        <v>8985</v>
      </c>
      <c r="F556" s="200"/>
      <c r="G556" s="200"/>
    </row>
    <row r="557" spans="1:7" ht="17.25" customHeight="1">
      <c r="A557" s="236"/>
      <c r="B557" s="127"/>
      <c r="C557" s="128"/>
      <c r="D557" s="126"/>
      <c r="E557" s="126"/>
      <c r="F557" s="200"/>
      <c r="G557" s="200"/>
    </row>
    <row r="558" spans="1:7" ht="30" customHeight="1">
      <c r="A558" s="262" t="s">
        <v>664</v>
      </c>
      <c r="B558" s="264"/>
      <c r="C558" s="264"/>
      <c r="D558" s="264"/>
      <c r="E558" s="264"/>
      <c r="F558" s="200"/>
      <c r="G558" s="200"/>
    </row>
    <row r="559" spans="1:7" ht="24" customHeight="1">
      <c r="A559" s="40" t="s">
        <v>212</v>
      </c>
      <c r="B559" s="40" t="s">
        <v>213</v>
      </c>
      <c r="C559" s="40" t="s">
        <v>214</v>
      </c>
      <c r="D559" s="40" t="s">
        <v>215</v>
      </c>
      <c r="E559" s="39" t="s">
        <v>216</v>
      </c>
      <c r="F559" s="200"/>
      <c r="G559" s="200"/>
    </row>
    <row r="560" spans="1:7" ht="17.25" customHeight="1">
      <c r="A560" s="269" t="s">
        <v>223</v>
      </c>
      <c r="B560" s="270"/>
      <c r="C560" s="271"/>
      <c r="D560" s="40"/>
      <c r="E560" s="39"/>
      <c r="F560" s="200"/>
      <c r="G560" s="200"/>
    </row>
    <row r="561" spans="1:7" ht="17.25" customHeight="1">
      <c r="A561" s="45">
        <v>437</v>
      </c>
      <c r="B561" s="105">
        <v>14</v>
      </c>
      <c r="C561" s="105" t="s">
        <v>228</v>
      </c>
      <c r="D561" s="105" t="s">
        <v>665</v>
      </c>
      <c r="E561" s="105">
        <v>1605</v>
      </c>
      <c r="F561" s="200"/>
      <c r="G561" s="200"/>
    </row>
    <row r="562" spans="1:7" ht="17.25" customHeight="1">
      <c r="A562" s="45">
        <v>437</v>
      </c>
      <c r="B562" s="105">
        <v>1</v>
      </c>
      <c r="C562" s="105" t="s">
        <v>225</v>
      </c>
      <c r="D562" s="105" t="s">
        <v>660</v>
      </c>
      <c r="E562" s="105">
        <v>87</v>
      </c>
      <c r="F562" s="200"/>
      <c r="G562" s="200"/>
    </row>
    <row r="563" spans="1:7" ht="17.25" customHeight="1">
      <c r="A563" s="40"/>
      <c r="B563" s="235">
        <f>SUM(B561:B562)</f>
        <v>15</v>
      </c>
      <c r="C563" s="235"/>
      <c r="D563" s="235"/>
      <c r="E563" s="235">
        <f>SUM(E561:E562)</f>
        <v>1692</v>
      </c>
      <c r="F563" s="200"/>
      <c r="G563" s="200"/>
    </row>
    <row r="564" spans="1:7" ht="17.25" customHeight="1">
      <c r="A564" s="269" t="s">
        <v>217</v>
      </c>
      <c r="B564" s="270"/>
      <c r="C564" s="271"/>
      <c r="D564" s="40"/>
      <c r="E564" s="39"/>
      <c r="F564" s="200"/>
      <c r="G564" s="200"/>
    </row>
    <row r="565" spans="1:7" ht="17.25" customHeight="1">
      <c r="A565" s="45">
        <v>439</v>
      </c>
      <c r="B565" s="105">
        <v>1</v>
      </c>
      <c r="C565" s="109" t="s">
        <v>232</v>
      </c>
      <c r="D565" s="105" t="s">
        <v>661</v>
      </c>
      <c r="E565" s="105">
        <v>120</v>
      </c>
      <c r="F565" s="200"/>
      <c r="G565" s="200"/>
    </row>
    <row r="566" spans="1:7" ht="17.25" customHeight="1">
      <c r="A566" s="45">
        <v>439</v>
      </c>
      <c r="B566" s="105">
        <v>1</v>
      </c>
      <c r="C566" s="109" t="s">
        <v>241</v>
      </c>
      <c r="D566" s="105" t="s">
        <v>662</v>
      </c>
      <c r="E566" s="105">
        <v>231</v>
      </c>
      <c r="F566" s="200"/>
      <c r="G566" s="200"/>
    </row>
    <row r="567" spans="1:7" ht="17.25" customHeight="1">
      <c r="A567" s="45">
        <v>438</v>
      </c>
      <c r="B567" s="105">
        <v>5</v>
      </c>
      <c r="C567" s="105" t="s">
        <v>228</v>
      </c>
      <c r="D567" s="105" t="s">
        <v>304</v>
      </c>
      <c r="E567" s="255">
        <v>450</v>
      </c>
      <c r="F567" s="200"/>
      <c r="G567" s="200"/>
    </row>
    <row r="568" spans="1:7" ht="17.25" customHeight="1">
      <c r="A568" s="45">
        <v>438</v>
      </c>
      <c r="B568" s="105">
        <v>1</v>
      </c>
      <c r="C568" s="109" t="s">
        <v>232</v>
      </c>
      <c r="D568" s="105" t="s">
        <v>663</v>
      </c>
      <c r="E568" s="255">
        <v>104</v>
      </c>
      <c r="F568" s="200"/>
      <c r="G568" s="200"/>
    </row>
    <row r="569" spans="1:7" ht="17.25" customHeight="1">
      <c r="A569" s="40"/>
      <c r="B569" s="235">
        <f>SUM(B565:B568)</f>
        <v>8</v>
      </c>
      <c r="C569" s="235"/>
      <c r="D569" s="235"/>
      <c r="E569" s="235">
        <f>SUM(E565:E568)</f>
        <v>905</v>
      </c>
      <c r="F569" s="200"/>
      <c r="G569" s="200"/>
    </row>
    <row r="570" spans="1:7" ht="17.25" customHeight="1">
      <c r="A570" s="235" t="s">
        <v>14</v>
      </c>
      <c r="B570" s="126">
        <f>B563+B569</f>
        <v>23</v>
      </c>
      <c r="C570" s="126"/>
      <c r="D570" s="126"/>
      <c r="E570" s="126">
        <f>E563+E569</f>
        <v>2597</v>
      </c>
      <c r="F570" s="200"/>
      <c r="G570" s="200"/>
    </row>
    <row r="571" spans="1:7" ht="17.25" customHeight="1">
      <c r="A571" s="239"/>
      <c r="B571" s="127"/>
      <c r="C571" s="128"/>
      <c r="D571" s="126"/>
      <c r="E571" s="126"/>
      <c r="F571" s="200"/>
      <c r="G571" s="200"/>
    </row>
    <row r="572" spans="1:7" ht="34.5" customHeight="1">
      <c r="A572" s="262" t="s">
        <v>691</v>
      </c>
      <c r="B572" s="264"/>
      <c r="C572" s="264"/>
      <c r="D572" s="264"/>
      <c r="E572" s="264"/>
      <c r="F572" s="200"/>
      <c r="G572" s="200"/>
    </row>
    <row r="573" spans="1:7" ht="24.75" customHeight="1">
      <c r="A573" s="23" t="s">
        <v>212</v>
      </c>
      <c r="B573" s="23" t="s">
        <v>213</v>
      </c>
      <c r="C573" s="23" t="s">
        <v>214</v>
      </c>
      <c r="D573" s="23" t="s">
        <v>215</v>
      </c>
      <c r="E573" s="87" t="s">
        <v>216</v>
      </c>
      <c r="F573" s="200"/>
      <c r="G573" s="200"/>
    </row>
    <row r="574" spans="1:7" ht="17.25" customHeight="1">
      <c r="A574" s="269" t="s">
        <v>217</v>
      </c>
      <c r="B574" s="270"/>
      <c r="C574" s="271"/>
      <c r="D574" s="40"/>
      <c r="E574" s="39"/>
      <c r="F574" s="200"/>
      <c r="G574" s="200"/>
    </row>
    <row r="575" spans="1:7" ht="17.25" customHeight="1">
      <c r="A575" s="60">
        <v>23115</v>
      </c>
      <c r="B575" s="60">
        <v>30</v>
      </c>
      <c r="C575" s="45" t="s">
        <v>225</v>
      </c>
      <c r="D575" s="256" t="s">
        <v>667</v>
      </c>
      <c r="E575" s="45">
        <v>2273</v>
      </c>
      <c r="F575" s="252">
        <f>SUM(B575:B579)</f>
        <v>150</v>
      </c>
      <c r="G575" s="200"/>
    </row>
    <row r="576" spans="1:7" ht="17.25" customHeight="1">
      <c r="A576" s="60">
        <v>23116</v>
      </c>
      <c r="B576" s="60">
        <v>30</v>
      </c>
      <c r="C576" s="45" t="s">
        <v>225</v>
      </c>
      <c r="D576" s="256" t="s">
        <v>668</v>
      </c>
      <c r="E576" s="45">
        <v>2254</v>
      </c>
      <c r="F576" s="252">
        <f>SUM(B580:B586)</f>
        <v>210</v>
      </c>
      <c r="G576" s="200"/>
    </row>
    <row r="577" spans="1:7" ht="17.25" customHeight="1">
      <c r="A577" s="60">
        <v>23117</v>
      </c>
      <c r="B577" s="60">
        <v>30</v>
      </c>
      <c r="C577" s="45" t="s">
        <v>225</v>
      </c>
      <c r="D577" s="256" t="s">
        <v>669</v>
      </c>
      <c r="E577" s="45">
        <v>2265</v>
      </c>
      <c r="F577" s="200"/>
      <c r="G577" s="200"/>
    </row>
    <row r="578" spans="1:7" ht="17.25" customHeight="1">
      <c r="A578" s="60">
        <v>23118</v>
      </c>
      <c r="B578" s="60">
        <v>30</v>
      </c>
      <c r="C578" s="45" t="s">
        <v>225</v>
      </c>
      <c r="D578" s="40" t="s">
        <v>670</v>
      </c>
      <c r="E578" s="40">
        <v>2257</v>
      </c>
      <c r="F578" s="200"/>
      <c r="G578" s="200"/>
    </row>
    <row r="579" spans="1:7" ht="17.25" customHeight="1">
      <c r="A579" s="60">
        <v>23119</v>
      </c>
      <c r="B579" s="60">
        <v>30</v>
      </c>
      <c r="C579" s="45" t="s">
        <v>225</v>
      </c>
      <c r="D579" s="40" t="s">
        <v>671</v>
      </c>
      <c r="E579" s="40">
        <v>2267</v>
      </c>
      <c r="F579" s="200"/>
      <c r="G579" s="200"/>
    </row>
    <row r="580" spans="1:7" ht="17.25" customHeight="1">
      <c r="A580" s="40">
        <v>23125</v>
      </c>
      <c r="B580" s="40">
        <v>30</v>
      </c>
      <c r="C580" s="40" t="s">
        <v>228</v>
      </c>
      <c r="D580" s="40" t="s">
        <v>672</v>
      </c>
      <c r="E580" s="40">
        <v>3018</v>
      </c>
      <c r="F580" s="200"/>
      <c r="G580" s="200"/>
    </row>
    <row r="581" spans="1:7" ht="17.25" customHeight="1">
      <c r="A581" s="40">
        <v>23126</v>
      </c>
      <c r="B581" s="40">
        <v>30</v>
      </c>
      <c r="C581" s="40" t="s">
        <v>228</v>
      </c>
      <c r="D581" s="40" t="s">
        <v>673</v>
      </c>
      <c r="E581" s="40">
        <v>2997</v>
      </c>
      <c r="F581" s="200"/>
      <c r="G581" s="200"/>
    </row>
    <row r="582" spans="1:7" ht="17.25" customHeight="1">
      <c r="A582" s="40">
        <v>23127</v>
      </c>
      <c r="B582" s="40">
        <v>30</v>
      </c>
      <c r="C582" s="40" t="s">
        <v>228</v>
      </c>
      <c r="D582" s="40" t="s">
        <v>674</v>
      </c>
      <c r="E582" s="40">
        <v>2947</v>
      </c>
      <c r="F582" s="200"/>
      <c r="G582" s="200"/>
    </row>
    <row r="583" spans="1:7" ht="17.25" customHeight="1">
      <c r="A583" s="40">
        <v>23128</v>
      </c>
      <c r="B583" s="40">
        <v>30</v>
      </c>
      <c r="C583" s="40" t="s">
        <v>228</v>
      </c>
      <c r="D583" s="40" t="s">
        <v>675</v>
      </c>
      <c r="E583" s="40">
        <v>3035</v>
      </c>
      <c r="F583" s="200"/>
      <c r="G583" s="200"/>
    </row>
    <row r="584" spans="1:7" ht="17.25" customHeight="1">
      <c r="A584" s="40">
        <v>23129</v>
      </c>
      <c r="B584" s="40">
        <v>30</v>
      </c>
      <c r="C584" s="40" t="s">
        <v>228</v>
      </c>
      <c r="D584" s="40" t="s">
        <v>676</v>
      </c>
      <c r="E584" s="40">
        <v>2909</v>
      </c>
      <c r="F584" s="200"/>
      <c r="G584" s="200"/>
    </row>
    <row r="585" spans="1:7" ht="17.25" customHeight="1">
      <c r="A585" s="40">
        <v>23130</v>
      </c>
      <c r="B585" s="40">
        <v>30</v>
      </c>
      <c r="C585" s="40" t="s">
        <v>228</v>
      </c>
      <c r="D585" s="40" t="s">
        <v>677</v>
      </c>
      <c r="E585" s="40">
        <v>2980</v>
      </c>
      <c r="F585" s="200"/>
      <c r="G585" s="200"/>
    </row>
    <row r="586" spans="1:7" ht="17.25" customHeight="1">
      <c r="A586" s="40">
        <v>23131</v>
      </c>
      <c r="B586" s="40">
        <v>30</v>
      </c>
      <c r="C586" s="40" t="s">
        <v>228</v>
      </c>
      <c r="D586" s="40" t="s">
        <v>678</v>
      </c>
      <c r="E586" s="40">
        <v>3034</v>
      </c>
      <c r="F586" s="200"/>
      <c r="G586" s="200"/>
    </row>
    <row r="587" spans="1:7" ht="17.25" customHeight="1">
      <c r="A587" s="40"/>
      <c r="B587" s="238">
        <f>SUM(B575:B586)</f>
        <v>360</v>
      </c>
      <c r="C587" s="238"/>
      <c r="D587" s="238"/>
      <c r="E587" s="238">
        <f>SUM(E575:E586)</f>
        <v>32236</v>
      </c>
      <c r="F587" s="200"/>
      <c r="G587" s="200"/>
    </row>
    <row r="588" spans="1:7" ht="17.25" customHeight="1">
      <c r="A588" s="238" t="s">
        <v>14</v>
      </c>
      <c r="B588" s="126">
        <f>B587</f>
        <v>360</v>
      </c>
      <c r="C588" s="126"/>
      <c r="D588" s="126"/>
      <c r="E588" s="126">
        <f>E587</f>
        <v>32236</v>
      </c>
      <c r="F588" s="200"/>
      <c r="G588" s="200"/>
    </row>
    <row r="589" spans="1:7" ht="17.25" customHeight="1">
      <c r="A589" s="239"/>
      <c r="B589" s="127"/>
      <c r="C589" s="128"/>
      <c r="D589" s="126"/>
      <c r="E589" s="126"/>
      <c r="F589" s="200"/>
      <c r="G589" s="200"/>
    </row>
    <row r="590" spans="1:7" ht="30.75" customHeight="1">
      <c r="A590" s="262" t="s">
        <v>692</v>
      </c>
      <c r="B590" s="264"/>
      <c r="C590" s="264"/>
      <c r="D590" s="264"/>
      <c r="E590" s="264"/>
      <c r="F590" s="200"/>
      <c r="G590" s="200"/>
    </row>
    <row r="591" spans="1:7" ht="27.75" customHeight="1">
      <c r="A591" s="23" t="s">
        <v>212</v>
      </c>
      <c r="B591" s="23" t="s">
        <v>213</v>
      </c>
      <c r="C591" s="23" t="s">
        <v>214</v>
      </c>
      <c r="D591" s="23" t="s">
        <v>215</v>
      </c>
      <c r="E591" s="87" t="s">
        <v>216</v>
      </c>
      <c r="F591" s="200"/>
      <c r="G591" s="200"/>
    </row>
    <row r="592" spans="1:7" ht="17.25" customHeight="1">
      <c r="A592" s="269" t="s">
        <v>217</v>
      </c>
      <c r="B592" s="270"/>
      <c r="C592" s="271"/>
      <c r="D592" s="40"/>
      <c r="E592" s="39"/>
      <c r="F592" s="200"/>
      <c r="G592" s="200"/>
    </row>
    <row r="593" spans="1:7" ht="17.25" customHeight="1">
      <c r="A593" s="60">
        <v>23120</v>
      </c>
      <c r="B593" s="60">
        <v>30</v>
      </c>
      <c r="C593" s="45" t="s">
        <v>225</v>
      </c>
      <c r="D593" s="40" t="s">
        <v>679</v>
      </c>
      <c r="E593" s="40">
        <v>2263</v>
      </c>
      <c r="F593" s="252">
        <f>SUM(B593:B597)</f>
        <v>140</v>
      </c>
      <c r="G593" s="200"/>
    </row>
    <row r="594" spans="1:7" ht="17.25" customHeight="1">
      <c r="A594" s="60">
        <v>23121</v>
      </c>
      <c r="B594" s="60">
        <v>30</v>
      </c>
      <c r="C594" s="45" t="s">
        <v>225</v>
      </c>
      <c r="D594" s="40" t="s">
        <v>680</v>
      </c>
      <c r="E594" s="40">
        <v>2269</v>
      </c>
      <c r="F594" s="252">
        <f>SUM(B598:B604)</f>
        <v>208</v>
      </c>
      <c r="G594" s="200"/>
    </row>
    <row r="595" spans="1:7" ht="17.25" customHeight="1">
      <c r="A595" s="60">
        <v>23122</v>
      </c>
      <c r="B595" s="60">
        <v>30</v>
      </c>
      <c r="C595" s="45" t="s">
        <v>225</v>
      </c>
      <c r="D595" s="40" t="s">
        <v>681</v>
      </c>
      <c r="E595" s="60">
        <v>2267</v>
      </c>
      <c r="F595" s="200"/>
      <c r="G595" s="200"/>
    </row>
    <row r="596" spans="1:7" ht="17.25" customHeight="1">
      <c r="A596" s="60">
        <v>23123</v>
      </c>
      <c r="B596" s="60">
        <v>30</v>
      </c>
      <c r="C596" s="45" t="s">
        <v>225</v>
      </c>
      <c r="D596" s="40" t="s">
        <v>682</v>
      </c>
      <c r="E596" s="60">
        <v>2255</v>
      </c>
      <c r="F596" s="200"/>
      <c r="G596" s="200"/>
    </row>
    <row r="597" spans="1:7" ht="17.25" customHeight="1">
      <c r="A597" s="60">
        <v>23124</v>
      </c>
      <c r="B597" s="60">
        <v>20</v>
      </c>
      <c r="C597" s="45" t="s">
        <v>225</v>
      </c>
      <c r="D597" s="60" t="s">
        <v>683</v>
      </c>
      <c r="E597" s="60">
        <v>1501</v>
      </c>
      <c r="F597" s="200"/>
      <c r="G597" s="200"/>
    </row>
    <row r="598" spans="1:7" ht="17.25" customHeight="1">
      <c r="A598" s="40">
        <v>23132</v>
      </c>
      <c r="B598" s="40">
        <v>30</v>
      </c>
      <c r="C598" s="40" t="s">
        <v>228</v>
      </c>
      <c r="D598" s="40" t="s">
        <v>684</v>
      </c>
      <c r="E598" s="40">
        <v>2901</v>
      </c>
      <c r="F598" s="200"/>
      <c r="G598" s="200"/>
    </row>
    <row r="599" spans="1:7" ht="17.25" customHeight="1">
      <c r="A599" s="40">
        <v>23133</v>
      </c>
      <c r="B599" s="40">
        <v>30</v>
      </c>
      <c r="C599" s="40" t="s">
        <v>228</v>
      </c>
      <c r="D599" s="40" t="s">
        <v>685</v>
      </c>
      <c r="E599" s="40">
        <v>2884</v>
      </c>
      <c r="F599" s="200"/>
      <c r="G599" s="200"/>
    </row>
    <row r="600" spans="1:7" ht="17.25" customHeight="1">
      <c r="A600" s="40">
        <v>23134</v>
      </c>
      <c r="B600" s="40">
        <v>30</v>
      </c>
      <c r="C600" s="40" t="s">
        <v>228</v>
      </c>
      <c r="D600" s="256" t="s">
        <v>686</v>
      </c>
      <c r="E600" s="40">
        <v>2877</v>
      </c>
      <c r="F600" s="200"/>
      <c r="G600" s="200"/>
    </row>
    <row r="601" spans="1:7" ht="17.25" customHeight="1">
      <c r="A601" s="40">
        <v>23135</v>
      </c>
      <c r="B601" s="40">
        <v>30</v>
      </c>
      <c r="C601" s="40" t="s">
        <v>228</v>
      </c>
      <c r="D601" s="40" t="s">
        <v>687</v>
      </c>
      <c r="E601" s="40">
        <v>2881</v>
      </c>
      <c r="F601" s="200"/>
      <c r="G601" s="200"/>
    </row>
    <row r="602" spans="1:7" ht="17.25" customHeight="1">
      <c r="A602" s="40">
        <v>23136</v>
      </c>
      <c r="B602" s="40">
        <v>30</v>
      </c>
      <c r="C602" s="40" t="s">
        <v>228</v>
      </c>
      <c r="D602" s="40" t="s">
        <v>688</v>
      </c>
      <c r="E602" s="40">
        <v>2928</v>
      </c>
      <c r="F602" s="200"/>
      <c r="G602" s="200"/>
    </row>
    <row r="603" spans="1:7" ht="17.25" customHeight="1">
      <c r="A603" s="40">
        <v>23137</v>
      </c>
      <c r="B603" s="40">
        <v>30</v>
      </c>
      <c r="C603" s="40" t="s">
        <v>228</v>
      </c>
      <c r="D603" s="60" t="s">
        <v>689</v>
      </c>
      <c r="E603" s="40">
        <v>2946</v>
      </c>
      <c r="F603" s="200"/>
      <c r="G603" s="200"/>
    </row>
    <row r="604" spans="1:7" ht="17.25" customHeight="1">
      <c r="A604" s="40">
        <v>23138</v>
      </c>
      <c r="B604" s="40">
        <v>28</v>
      </c>
      <c r="C604" s="40" t="s">
        <v>228</v>
      </c>
      <c r="D604" s="40" t="s">
        <v>690</v>
      </c>
      <c r="E604" s="40">
        <v>2751</v>
      </c>
      <c r="F604" s="200"/>
      <c r="G604" s="200"/>
    </row>
    <row r="605" spans="1:7" ht="17.25" customHeight="1">
      <c r="A605" s="40"/>
      <c r="B605" s="238">
        <f>SUM(B593:B604)</f>
        <v>348</v>
      </c>
      <c r="C605" s="238"/>
      <c r="D605" s="238"/>
      <c r="E605" s="238">
        <f>SUM(E593:E604)</f>
        <v>30723</v>
      </c>
      <c r="F605" s="200"/>
      <c r="G605" s="200"/>
    </row>
    <row r="606" spans="1:7" ht="17.25" customHeight="1">
      <c r="A606" s="238" t="s">
        <v>14</v>
      </c>
      <c r="B606" s="126">
        <f>B605</f>
        <v>348</v>
      </c>
      <c r="C606" s="126"/>
      <c r="D606" s="126"/>
      <c r="E606" s="126">
        <f>E605</f>
        <v>30723</v>
      </c>
      <c r="F606" s="200"/>
      <c r="G606" s="200"/>
    </row>
    <row r="607" spans="1:8" ht="15" customHeight="1">
      <c r="A607" s="162"/>
      <c r="B607" s="127"/>
      <c r="C607" s="128"/>
      <c r="D607" s="126"/>
      <c r="E607" s="126"/>
      <c r="H607" s="1"/>
    </row>
    <row r="608" spans="1:8" ht="15" customHeight="1">
      <c r="A608" s="327" t="s">
        <v>22</v>
      </c>
      <c r="B608" s="328"/>
      <c r="C608" s="340"/>
      <c r="D608" s="8"/>
      <c r="E608" s="10"/>
      <c r="H608" s="1"/>
    </row>
    <row r="609" spans="1:8" ht="15" customHeight="1">
      <c r="A609" s="39"/>
      <c r="B609" s="130"/>
      <c r="C609" s="131"/>
      <c r="D609" s="43"/>
      <c r="E609" s="44">
        <f>SUM(E611:E614)</f>
        <v>5.5760000000000005</v>
      </c>
      <c r="H609" s="1"/>
    </row>
    <row r="610" spans="1:18" ht="15" customHeight="1">
      <c r="A610" s="40" t="s">
        <v>5</v>
      </c>
      <c r="B610" s="262" t="s">
        <v>17</v>
      </c>
      <c r="C610" s="263"/>
      <c r="D610" s="129" t="s">
        <v>18</v>
      </c>
      <c r="E610" s="40" t="s">
        <v>7</v>
      </c>
      <c r="G610" s="93" t="str">
        <f>CONCATENATE("Cable Scrap, Lying at ",B611,". Quantity in MT - ")</f>
        <v>Cable Scrap, Lying at CS Ferozepur. Quantity in MT - </v>
      </c>
      <c r="H610" s="268" t="str">
        <f ca="1">CONCATENATE(G610,G611,(INDIRECT(I611)),(INDIRECT(J611)),(INDIRECT(K611)),(INDIRECT(L611)),(INDIRECT(M611)),(INDIRECT(N611)),(INDIRECT(O611)),(INDIRECT(P611)),(INDIRECT(Q611)),(INDIRECT(R611)))</f>
        <v>Cable Scrap, Lying at CS Ferozepur. Quantity in MT - 2/core PVC Alumn. Cable scrap - 0.676, 4/core PVC Alumn. Cable scrap - 2.192, 1/ core XLPE Alu cable scrap - 0.136, 3/ core XLPE Alu cable scrap - 2.572, </v>
      </c>
      <c r="I610" s="98" t="str">
        <f aca="true" ca="1" t="array" ref="I610">CELL("address",INDEX(G610:G634,MATCH(TRUE,ISBLANK(G610:G634),0)))</f>
        <v>$G$615</v>
      </c>
      <c r="J610" s="98">
        <f aca="true" t="array" ref="J610">MATCH(TRUE,ISBLANK(G610:G634),0)</f>
        <v>6</v>
      </c>
      <c r="K610" s="98">
        <f>J610-3</f>
        <v>3</v>
      </c>
      <c r="L610" s="98"/>
      <c r="M610" s="98"/>
      <c r="N610" s="98"/>
      <c r="O610" s="98"/>
      <c r="P610" s="98"/>
      <c r="Q610" s="98"/>
      <c r="R610" s="98"/>
    </row>
    <row r="611" spans="1:18" ht="15" customHeight="1">
      <c r="A611" s="260" t="s">
        <v>35</v>
      </c>
      <c r="B611" s="260" t="s">
        <v>99</v>
      </c>
      <c r="C611" s="260"/>
      <c r="D611" s="45" t="s">
        <v>90</v>
      </c>
      <c r="E611" s="46">
        <v>0.676</v>
      </c>
      <c r="F611" s="98"/>
      <c r="G611" s="92" t="str">
        <f>CONCATENATE(D611," - ",E611,", ")</f>
        <v>2/core PVC Alumn. Cable scrap - 0.676, </v>
      </c>
      <c r="H611" s="268"/>
      <c r="I611" s="98" t="str">
        <f ca="1">IF(J610&gt;=3,(MID(I610,2,1)&amp;MID(I610,4,3)-K610),CELL("address",Z611))</f>
        <v>G612</v>
      </c>
      <c r="J611" s="98" t="str">
        <f ca="1">IF(J610&gt;=4,(MID(I611,1,1)&amp;MID(I611,2,3)+1),CELL("address",AA611))</f>
        <v>G613</v>
      </c>
      <c r="K611" s="98" t="str">
        <f ca="1">IF(J610&gt;=5,(MID(J611,1,1)&amp;MID(J611,2,3)+1),CELL("address",AB611))</f>
        <v>G614</v>
      </c>
      <c r="L611" s="98" t="str">
        <f ca="1">IF(J610&gt;=6,(MID(K611,1,1)&amp;MID(K611,2,3)+1),CELL("address",AC611))</f>
        <v>G615</v>
      </c>
      <c r="M611" s="98" t="str">
        <f ca="1">IF(J610&gt;=7,(MID(L611,1,1)&amp;MID(L611,2,3)+1),CELL("address",AD611))</f>
        <v>$AD$611</v>
      </c>
      <c r="N611" s="98" t="str">
        <f ca="1">IF(J610&gt;=8,(MID(M611,1,1)&amp;MID(M611,2,3)+1),CELL("address",AE611))</f>
        <v>$AE$611</v>
      </c>
      <c r="O611" s="98" t="str">
        <f ca="1">IF(J610&gt;=9,(MID(N611,1,1)&amp;MID(N611,2,3)+1),CELL("address",AF611))</f>
        <v>$AF$611</v>
      </c>
      <c r="P611" s="98" t="str">
        <f ca="1">IF(J610&gt;=10,(MID(O611,1,1)&amp;MID(O611,2,3)+1),CELL("address",AG611))</f>
        <v>$AG$611</v>
      </c>
      <c r="Q611" s="98" t="str">
        <f ca="1">IF(J610&gt;=11,(MID(P611,1,1)&amp;MID(P611,2,3)+1),CELL("address",AH611))</f>
        <v>$AH$611</v>
      </c>
      <c r="R611" s="98" t="str">
        <f ca="1">IF(J610&gt;=12,(MID(Q611,1,1)&amp;MID(Q611,2,3)+1),CELL("address",AI611))</f>
        <v>$AI$611</v>
      </c>
    </row>
    <row r="612" spans="1:15" ht="15" customHeight="1">
      <c r="A612" s="260"/>
      <c r="B612" s="260"/>
      <c r="C612" s="260"/>
      <c r="D612" s="45" t="s">
        <v>91</v>
      </c>
      <c r="E612" s="46">
        <v>2.192</v>
      </c>
      <c r="F612" s="98"/>
      <c r="G612" s="92" t="str">
        <f>CONCATENATE(D612," - ",E612,", ")</f>
        <v>4/core PVC Alumn. Cable scrap - 2.192, </v>
      </c>
      <c r="H612" s="98"/>
      <c r="I612" s="98" t="e">
        <f ca="1">IF(G611&gt;=6,(MID(H612,1,1)&amp;MID(H612,2,3)+1),CELL("address",Z612))</f>
        <v>#VALUE!</v>
      </c>
      <c r="J612" s="98" t="e">
        <f ca="1">IF(G611&gt;=7,(MID(I612,1,1)&amp;MID(I612,2,3)+1),CELL("address",AA612))</f>
        <v>#VALUE!</v>
      </c>
      <c r="K612" s="98" t="e">
        <f ca="1">IF(G611&gt;=8,(MID(J612,1,1)&amp;MID(J612,2,3)+1),CELL("address",AB612))</f>
        <v>#VALUE!</v>
      </c>
      <c r="L612" s="98" t="e">
        <f ca="1">IF(G611&gt;=9,(MID(K612,1,1)&amp;MID(K612,2,3)+1),CELL("address",AC612))</f>
        <v>#VALUE!</v>
      </c>
      <c r="M612" s="98" t="e">
        <f ca="1">IF(G611&gt;=10,(MID(L612,1,1)&amp;MID(L612,2,3)+1),CELL("address",AD612))</f>
        <v>#VALUE!</v>
      </c>
      <c r="N612" s="98" t="e">
        <f ca="1">IF(G611&gt;=11,(MID(M612,1,1)&amp;MID(M612,2,3)+1),CELL("address",AE612))</f>
        <v>#VALUE!</v>
      </c>
      <c r="O612" s="98" t="e">
        <f ca="1">IF(G611&gt;=12,(MID(N612,1,1)&amp;MID(N612,2,3)+1),CELL("address",AF612))</f>
        <v>#VALUE!</v>
      </c>
    </row>
    <row r="613" spans="1:8" ht="15" customHeight="1">
      <c r="A613" s="260"/>
      <c r="B613" s="260"/>
      <c r="C613" s="260"/>
      <c r="D613" s="45" t="s">
        <v>97</v>
      </c>
      <c r="E613" s="45">
        <v>0.136</v>
      </c>
      <c r="G613" s="92" t="str">
        <f>CONCATENATE(D613," - ",E613,", ")</f>
        <v>1/ core XLPE Alu cable scrap - 0.136, </v>
      </c>
      <c r="H613" s="1"/>
    </row>
    <row r="614" spans="1:8" ht="15" customHeight="1">
      <c r="A614" s="260"/>
      <c r="B614" s="260"/>
      <c r="C614" s="260"/>
      <c r="D614" s="45" t="s">
        <v>92</v>
      </c>
      <c r="E614" s="47">
        <v>2.572</v>
      </c>
      <c r="G614" s="92" t="str">
        <f>CONCATENATE(D614," - ",E614,", ")</f>
        <v>3/ core XLPE Alu cable scrap - 2.572, </v>
      </c>
      <c r="H614" s="1"/>
    </row>
    <row r="615" spans="1:8" ht="15" customHeight="1">
      <c r="A615" s="39"/>
      <c r="B615" s="48"/>
      <c r="C615" s="223"/>
      <c r="D615" s="34"/>
      <c r="E615" s="49"/>
      <c r="H615" s="1"/>
    </row>
    <row r="616" spans="1:8" ht="15" customHeight="1">
      <c r="A616" s="40"/>
      <c r="B616" s="272"/>
      <c r="C616" s="273"/>
      <c r="D616" s="229"/>
      <c r="E616" s="52">
        <f>SUM(E618:E621)</f>
        <v>3.0989999999999998</v>
      </c>
      <c r="H616" s="1"/>
    </row>
    <row r="617" spans="1:18" ht="15" customHeight="1">
      <c r="A617" s="40" t="s">
        <v>5</v>
      </c>
      <c r="B617" s="260" t="s">
        <v>17</v>
      </c>
      <c r="C617" s="260"/>
      <c r="D617" s="221" t="s">
        <v>18</v>
      </c>
      <c r="E617" s="40" t="s">
        <v>7</v>
      </c>
      <c r="G617" s="93" t="str">
        <f>CONCATENATE("Cable Scrap, Lying at ",B618,". Quantity in MT - ")</f>
        <v>Cable Scrap, Lying at OL Shri Muktsar Sahib. Quantity in MT - </v>
      </c>
      <c r="H617" s="268" t="str">
        <f ca="1">CONCATENATE(G617,G618,(INDIRECT(I618)),(INDIRECT(J618)),(INDIRECT(K618)),(INDIRECT(L618)),(INDIRECT(M618)),(INDIRECT(N618)),(INDIRECT(O618)),(INDIRECT(P618)),(INDIRECT(Q618)),(INDIRECT(R618)))</f>
        <v>Cable Scrap, Lying at OL Shri Muktsar Sahib. Quantity in MT - 4/core PVC Alumn. Cable scrap - 0.509, 3/ core XLPE Alu cable scrap - 1.96, 1/core PVC Alumn. Cable scrap - 0.141, 2/core PVC Alumn. Cable scrap - 0.489, </v>
      </c>
      <c r="I617" s="98" t="str">
        <f aca="true" ca="1" t="array" ref="I617">CELL("address",INDEX(G617:G641,MATCH(TRUE,ISBLANK(G617:G641),0)))</f>
        <v>$G$622</v>
      </c>
      <c r="J617" s="98">
        <f aca="true" t="array" ref="J617">MATCH(TRUE,ISBLANK(G617:G641),0)</f>
        <v>6</v>
      </c>
      <c r="K617" s="98">
        <f>J617-3</f>
        <v>3</v>
      </c>
      <c r="L617" s="98"/>
      <c r="M617" s="98"/>
      <c r="N617" s="98"/>
      <c r="O617" s="98"/>
      <c r="P617" s="98"/>
      <c r="Q617" s="98"/>
      <c r="R617" s="98"/>
    </row>
    <row r="618" spans="1:18" ht="15" customHeight="1">
      <c r="A618" s="279" t="s">
        <v>93</v>
      </c>
      <c r="B618" s="275" t="s">
        <v>146</v>
      </c>
      <c r="C618" s="276"/>
      <c r="D618" s="45" t="s">
        <v>91</v>
      </c>
      <c r="E618" s="46">
        <v>0.509</v>
      </c>
      <c r="F618" s="98"/>
      <c r="G618" s="92" t="str">
        <f>CONCATENATE(D618," - ",E618,", ")</f>
        <v>4/core PVC Alumn. Cable scrap - 0.509, </v>
      </c>
      <c r="H618" s="268"/>
      <c r="I618" s="98" t="str">
        <f ca="1">IF(J617&gt;=3,(MID(I617,2,1)&amp;MID(I617,4,3)-K617),CELL("address",Z618))</f>
        <v>G619</v>
      </c>
      <c r="J618" s="98" t="str">
        <f ca="1">IF(J617&gt;=4,(MID(I618,1,1)&amp;MID(I618,2,3)+1),CELL("address",AA618))</f>
        <v>G620</v>
      </c>
      <c r="K618" s="98" t="str">
        <f ca="1">IF(J617&gt;=5,(MID(J618,1,1)&amp;MID(J618,2,3)+1),CELL("address",AB618))</f>
        <v>G621</v>
      </c>
      <c r="L618" s="98" t="str">
        <f ca="1">IF(J617&gt;=6,(MID(K618,1,1)&amp;MID(K618,2,3)+1),CELL("address",AC618))</f>
        <v>G622</v>
      </c>
      <c r="M618" s="98" t="str">
        <f ca="1">IF(J617&gt;=7,(MID(L618,1,1)&amp;MID(L618,2,3)+1),CELL("address",AD618))</f>
        <v>$AD$618</v>
      </c>
      <c r="N618" s="98" t="str">
        <f ca="1">IF(J617&gt;=8,(MID(M618,1,1)&amp;MID(M618,2,3)+1),CELL("address",AE618))</f>
        <v>$AE$618</v>
      </c>
      <c r="O618" s="98" t="str">
        <f ca="1">IF(J617&gt;=9,(MID(N618,1,1)&amp;MID(N618,2,3)+1),CELL("address",AF618))</f>
        <v>$AF$618</v>
      </c>
      <c r="P618" s="98" t="str">
        <f ca="1">IF(J617&gt;=10,(MID(O618,1,1)&amp;MID(O618,2,3)+1),CELL("address",AG618))</f>
        <v>$AG$618</v>
      </c>
      <c r="Q618" s="98" t="str">
        <f ca="1">IF(J617&gt;=11,(MID(P618,1,1)&amp;MID(P618,2,3)+1),CELL("address",AH618))</f>
        <v>$AH$618</v>
      </c>
      <c r="R618" s="98" t="str">
        <f ca="1">IF(J617&gt;=12,(MID(Q618,1,1)&amp;MID(Q618,2,3)+1),CELL("address",AI618))</f>
        <v>$AI$618</v>
      </c>
    </row>
    <row r="619" spans="1:15" ht="15" customHeight="1">
      <c r="A619" s="338"/>
      <c r="B619" s="280"/>
      <c r="C619" s="281"/>
      <c r="D619" s="45" t="s">
        <v>92</v>
      </c>
      <c r="E619" s="46">
        <v>1.96</v>
      </c>
      <c r="F619" s="98"/>
      <c r="G619" s="92" t="str">
        <f>CONCATENATE(D619," - ",E619,", ")</f>
        <v>3/ core XLPE Alu cable scrap - 1.96, </v>
      </c>
      <c r="H619" s="98"/>
      <c r="I619" s="98" t="e">
        <f ca="1">IF(G618&gt;=6,(MID(H619,1,1)&amp;MID(H619,2,3)+1),CELL("address",Z619))</f>
        <v>#VALUE!</v>
      </c>
      <c r="J619" s="98" t="e">
        <f ca="1">IF(G618&gt;=7,(MID(I619,1,1)&amp;MID(I619,2,3)+1),CELL("address",AA619))</f>
        <v>#VALUE!</v>
      </c>
      <c r="K619" s="98" t="e">
        <f ca="1">IF(G618&gt;=8,(MID(J619,1,1)&amp;MID(J619,2,3)+1),CELL("address",AB619))</f>
        <v>#VALUE!</v>
      </c>
      <c r="L619" s="98" t="e">
        <f ca="1">IF(G618&gt;=9,(MID(K619,1,1)&amp;MID(K619,2,3)+1),CELL("address",AC619))</f>
        <v>#VALUE!</v>
      </c>
      <c r="M619" s="98" t="e">
        <f ca="1">IF(G618&gt;=10,(MID(L619,1,1)&amp;MID(L619,2,3)+1),CELL("address",AD619))</f>
        <v>#VALUE!</v>
      </c>
      <c r="N619" s="98" t="e">
        <f ca="1">IF(G618&gt;=11,(MID(M619,1,1)&amp;MID(M619,2,3)+1),CELL("address",AE619))</f>
        <v>#VALUE!</v>
      </c>
      <c r="O619" s="98" t="e">
        <f ca="1">IF(G618&gt;=12,(MID(N619,1,1)&amp;MID(N619,2,3)+1),CELL("address",AF619))</f>
        <v>#VALUE!</v>
      </c>
    </row>
    <row r="620" spans="1:8" ht="15" customHeight="1">
      <c r="A620" s="338"/>
      <c r="B620" s="280"/>
      <c r="C620" s="281"/>
      <c r="D620" s="45" t="s">
        <v>171</v>
      </c>
      <c r="E620" s="75">
        <v>0.141</v>
      </c>
      <c r="G620" s="92" t="str">
        <f>CONCATENATE(D620," - ",E620,", ")</f>
        <v>1/core PVC Alumn. Cable scrap - 0.141, </v>
      </c>
      <c r="H620" s="1"/>
    </row>
    <row r="621" spans="1:8" ht="15" customHeight="1">
      <c r="A621" s="339"/>
      <c r="B621" s="283"/>
      <c r="C621" s="284"/>
      <c r="D621" s="45" t="s">
        <v>90</v>
      </c>
      <c r="E621" s="75">
        <v>0.489</v>
      </c>
      <c r="G621" s="92" t="str">
        <f>CONCATENATE(D621," - ",E621,", ")</f>
        <v>2/core PVC Alumn. Cable scrap - 0.489, </v>
      </c>
      <c r="H621" s="1"/>
    </row>
    <row r="622" spans="1:8" ht="15" customHeight="1">
      <c r="A622" s="40"/>
      <c r="B622" s="272"/>
      <c r="C622" s="273"/>
      <c r="D622" s="71"/>
      <c r="E622" s="75"/>
      <c r="H622" s="1"/>
    </row>
    <row r="623" spans="1:8" ht="15" customHeight="1">
      <c r="A623" s="40"/>
      <c r="B623" s="272"/>
      <c r="C623" s="273"/>
      <c r="D623" s="232"/>
      <c r="E623" s="44">
        <f>SUM(E625:E628)</f>
        <v>2.7920000000000003</v>
      </c>
      <c r="H623" s="1"/>
    </row>
    <row r="624" spans="1:18" ht="15" customHeight="1">
      <c r="A624" s="40" t="s">
        <v>5</v>
      </c>
      <c r="B624" s="262" t="s">
        <v>17</v>
      </c>
      <c r="C624" s="263"/>
      <c r="D624" s="222" t="s">
        <v>18</v>
      </c>
      <c r="E624" s="40" t="s">
        <v>7</v>
      </c>
      <c r="G624" s="93" t="str">
        <f>CONCATENATE("Cable Scrap, Lying at ",B625,". Quantity in MT - ")</f>
        <v>Cable Scrap, Lying at OL Bhagta Bhai Ka. Quantity in MT - </v>
      </c>
      <c r="H624" s="268" t="str">
        <f ca="1">CONCATENATE(G624,G625,(INDIRECT(I625)),(INDIRECT(J625)),(INDIRECT(K625)),(INDIRECT(L625)),(INDIRECT(M625)),(INDIRECT(N625)),(INDIRECT(O625)),(INDIRECT(P625)),(INDIRECT(Q625)),(INDIRECT(R625)))</f>
        <v>Cable Scrap, Lying at OL Bhagta Bhai Ka. Quantity in MT - 4/core PVC Alumn. Cable scrap - 1.366, 2/core PVC Alumn. Cable scrap - 0.353, 3/ core XLPE Alu cable scrap - 0.671, ABC cable scrap (150 mm) - 0.402, </v>
      </c>
      <c r="I624" s="98" t="str">
        <f aca="true" ca="1" t="array" ref="I624">CELL("address",INDEX(G624:G648,MATCH(TRUE,ISBLANK(G624:G648),0)))</f>
        <v>$G$629</v>
      </c>
      <c r="J624" s="98">
        <f aca="true" t="array" ref="J624">MATCH(TRUE,ISBLANK(G624:G648),0)</f>
        <v>6</v>
      </c>
      <c r="K624" s="98">
        <f>J624-3</f>
        <v>3</v>
      </c>
      <c r="L624" s="98"/>
      <c r="M624" s="98"/>
      <c r="N624" s="98"/>
      <c r="O624" s="98"/>
      <c r="P624" s="98"/>
      <c r="Q624" s="98"/>
      <c r="R624" s="98"/>
    </row>
    <row r="625" spans="1:18" ht="15" customHeight="1">
      <c r="A625" s="260" t="s">
        <v>94</v>
      </c>
      <c r="B625" s="260" t="s">
        <v>100</v>
      </c>
      <c r="C625" s="260"/>
      <c r="D625" s="45" t="s">
        <v>91</v>
      </c>
      <c r="E625" s="46">
        <v>1.366</v>
      </c>
      <c r="F625" s="98"/>
      <c r="G625" s="92" t="str">
        <f>CONCATENATE(D625," - ",E625,", ")</f>
        <v>4/core PVC Alumn. Cable scrap - 1.366, </v>
      </c>
      <c r="H625" s="268"/>
      <c r="I625" s="98" t="str">
        <f ca="1">IF(J624&gt;=3,(MID(I624,2,1)&amp;MID(I624,4,3)-K624),CELL("address",Z625))</f>
        <v>G626</v>
      </c>
      <c r="J625" s="98" t="str">
        <f ca="1">IF(J624&gt;=4,(MID(I625,1,1)&amp;MID(I625,2,3)+1),CELL("address",AA625))</f>
        <v>G627</v>
      </c>
      <c r="K625" s="98" t="str">
        <f ca="1">IF(J624&gt;=5,(MID(J625,1,1)&amp;MID(J625,2,3)+1),CELL("address",AB625))</f>
        <v>G628</v>
      </c>
      <c r="L625" s="98" t="str">
        <f ca="1">IF(J624&gt;=6,(MID(K625,1,1)&amp;MID(K625,2,3)+1),CELL("address",AC625))</f>
        <v>G629</v>
      </c>
      <c r="M625" s="98" t="str">
        <f ca="1">IF(J624&gt;=7,(MID(L625,1,1)&amp;MID(L625,2,3)+1),CELL("address",AD625))</f>
        <v>$AD$625</v>
      </c>
      <c r="N625" s="98" t="str">
        <f ca="1">IF(J624&gt;=8,(MID(M625,1,1)&amp;MID(M625,2,3)+1),CELL("address",AE625))</f>
        <v>$AE$625</v>
      </c>
      <c r="O625" s="98" t="str">
        <f ca="1">IF(J624&gt;=9,(MID(N625,1,1)&amp;MID(N625,2,3)+1),CELL("address",AF625))</f>
        <v>$AF$625</v>
      </c>
      <c r="P625" s="98" t="str">
        <f ca="1">IF(J624&gt;=10,(MID(O625,1,1)&amp;MID(O625,2,3)+1),CELL("address",AG625))</f>
        <v>$AG$625</v>
      </c>
      <c r="Q625" s="98" t="str">
        <f ca="1">IF(J624&gt;=11,(MID(P625,1,1)&amp;MID(P625,2,3)+1),CELL("address",AH625))</f>
        <v>$AH$625</v>
      </c>
      <c r="R625" s="98" t="str">
        <f ca="1">IF(J624&gt;=12,(MID(Q625,1,1)&amp;MID(Q625,2,3)+1),CELL("address",AI625))</f>
        <v>$AI$625</v>
      </c>
    </row>
    <row r="626" spans="1:15" ht="15" customHeight="1">
      <c r="A626" s="260"/>
      <c r="B626" s="260"/>
      <c r="C626" s="260"/>
      <c r="D626" s="45" t="s">
        <v>90</v>
      </c>
      <c r="E626" s="75">
        <v>0.353</v>
      </c>
      <c r="F626" s="98"/>
      <c r="G626" s="92" t="str">
        <f>CONCATENATE(D626," - ",E626,", ")</f>
        <v>2/core PVC Alumn. Cable scrap - 0.353, </v>
      </c>
      <c r="H626" s="98"/>
      <c r="I626" s="98" t="e">
        <f ca="1">IF(G625&gt;=6,(MID(H626,1,1)&amp;MID(H626,2,3)+1),CELL("address",Z626))</f>
        <v>#VALUE!</v>
      </c>
      <c r="J626" s="98" t="e">
        <f ca="1">IF(G625&gt;=7,(MID(I626,1,1)&amp;MID(I626,2,3)+1),CELL("address",AA626))</f>
        <v>#VALUE!</v>
      </c>
      <c r="K626" s="98" t="e">
        <f ca="1">IF(G625&gt;=8,(MID(J626,1,1)&amp;MID(J626,2,3)+1),CELL("address",AB626))</f>
        <v>#VALUE!</v>
      </c>
      <c r="L626" s="98" t="e">
        <f ca="1">IF(G625&gt;=9,(MID(K626,1,1)&amp;MID(K626,2,3)+1),CELL("address",AC626))</f>
        <v>#VALUE!</v>
      </c>
      <c r="M626" s="98" t="e">
        <f ca="1">IF(G625&gt;=10,(MID(L626,1,1)&amp;MID(L626,2,3)+1),CELL("address",AD626))</f>
        <v>#VALUE!</v>
      </c>
      <c r="N626" s="98" t="e">
        <f ca="1">IF(G625&gt;=11,(MID(M626,1,1)&amp;MID(M626,2,3)+1),CELL("address",AE626))</f>
        <v>#VALUE!</v>
      </c>
      <c r="O626" s="98" t="e">
        <f ca="1">IF(G625&gt;=12,(MID(N626,1,1)&amp;MID(N626,2,3)+1),CELL("address",AF626))</f>
        <v>#VALUE!</v>
      </c>
    </row>
    <row r="627" spans="1:8" ht="15" customHeight="1">
      <c r="A627" s="260"/>
      <c r="B627" s="260"/>
      <c r="C627" s="260"/>
      <c r="D627" s="45" t="s">
        <v>92</v>
      </c>
      <c r="E627" s="75">
        <v>0.671</v>
      </c>
      <c r="G627" s="92" t="str">
        <f>CONCATENATE(D627," - ",E627,", ")</f>
        <v>3/ core XLPE Alu cable scrap - 0.671, </v>
      </c>
      <c r="H627" s="1"/>
    </row>
    <row r="628" spans="1:8" ht="15" customHeight="1">
      <c r="A628" s="260"/>
      <c r="B628" s="260"/>
      <c r="C628" s="260"/>
      <c r="D628" s="45" t="s">
        <v>246</v>
      </c>
      <c r="E628" s="75">
        <v>0.402</v>
      </c>
      <c r="G628" s="92" t="str">
        <f>CONCATENATE(D628," - ",E628,", ")</f>
        <v>ABC cable scrap (150 mm) - 0.402, </v>
      </c>
      <c r="H628" s="1"/>
    </row>
    <row r="629" spans="1:8" ht="15" customHeight="1">
      <c r="A629" s="39"/>
      <c r="B629" s="41"/>
      <c r="C629" s="42"/>
      <c r="D629" s="71"/>
      <c r="E629" s="75"/>
      <c r="H629" s="1"/>
    </row>
    <row r="630" spans="1:8" ht="15" customHeight="1">
      <c r="A630" s="40"/>
      <c r="B630" s="272"/>
      <c r="C630" s="273"/>
      <c r="D630" s="229"/>
      <c r="E630" s="52">
        <f>SUM(E632:E636)</f>
        <v>13.369</v>
      </c>
      <c r="H630" s="1"/>
    </row>
    <row r="631" spans="1:18" ht="15" customHeight="1">
      <c r="A631" s="40" t="s">
        <v>5</v>
      </c>
      <c r="B631" s="260" t="s">
        <v>17</v>
      </c>
      <c r="C631" s="260"/>
      <c r="D631" s="221" t="s">
        <v>18</v>
      </c>
      <c r="E631" s="40" t="s">
        <v>7</v>
      </c>
      <c r="G631" s="93" t="str">
        <f>CONCATENATE("Cable Scrap, Lying at ",B632,". Quantity in MT - ")</f>
        <v>Cable Scrap, Lying at CS Bathinda. Quantity in MT - </v>
      </c>
      <c r="H631" s="268" t="str">
        <f ca="1">CONCATENATE(G631,G632,(INDIRECT(I632)),(INDIRECT(J632)),(INDIRECT(K632)),(INDIRECT(L632)),(INDIRECT(M632)),(INDIRECT(N632)),(INDIRECT(O632)),(INDIRECT(P632)),(INDIRECT(Q632)),(INDIRECT(R632)))</f>
        <v>Cable Scrap, Lying at CS Bathinda. Quantity in MT - 2/core PVC Alumn. Cable scrap - 0.347, 4/core PVC Alumn. Cable scrap - 2.086, 1/ core XLPE Alu cable scrap - 0.143, 3/ core XLPE Alu cable scrap - 5.469, ABC cable scrap (70/95 mm) - 5.324, </v>
      </c>
      <c r="I631" s="98" t="str">
        <f aca="true" ca="1" t="array" ref="I631">CELL("address",INDEX(G631:G655,MATCH(TRUE,ISBLANK(G631:G655),0)))</f>
        <v>$G$637</v>
      </c>
      <c r="J631" s="98">
        <f aca="true" t="array" ref="J631">MATCH(TRUE,ISBLANK(G631:G655),0)</f>
        <v>7</v>
      </c>
      <c r="K631" s="98">
        <f>J631-3</f>
        <v>4</v>
      </c>
      <c r="L631" s="98"/>
      <c r="M631" s="98"/>
      <c r="N631" s="98"/>
      <c r="O631" s="98"/>
      <c r="P631" s="98"/>
      <c r="Q631" s="98"/>
      <c r="R631" s="98"/>
    </row>
    <row r="632" spans="1:18" ht="15" customHeight="1">
      <c r="A632" s="260" t="s">
        <v>96</v>
      </c>
      <c r="B632" s="260" t="s">
        <v>63</v>
      </c>
      <c r="C632" s="260"/>
      <c r="D632" s="45" t="s">
        <v>90</v>
      </c>
      <c r="E632" s="46">
        <v>0.347</v>
      </c>
      <c r="G632" s="92" t="str">
        <f>CONCATENATE(D632," - ",E632,", ")</f>
        <v>2/core PVC Alumn. Cable scrap - 0.347, </v>
      </c>
      <c r="H632" s="268"/>
      <c r="I632" s="98" t="str">
        <f ca="1">IF(J631&gt;=3,(MID(I631,2,1)&amp;MID(I631,4,3)-K631),CELL("address",Z632))</f>
        <v>G633</v>
      </c>
      <c r="J632" s="98" t="str">
        <f ca="1">IF(J631&gt;=4,(MID(I632,1,1)&amp;MID(I632,2,3)+1),CELL("address",AA632))</f>
        <v>G634</v>
      </c>
      <c r="K632" s="98" t="str">
        <f ca="1">IF(J631&gt;=5,(MID(J632,1,1)&amp;MID(J632,2,3)+1),CELL("address",AB632))</f>
        <v>G635</v>
      </c>
      <c r="L632" s="98" t="str">
        <f ca="1">IF(J631&gt;=6,(MID(K632,1,1)&amp;MID(K632,2,3)+1),CELL("address",AC632))</f>
        <v>G636</v>
      </c>
      <c r="M632" s="98" t="str">
        <f ca="1">IF(J631&gt;=7,(MID(L632,1,1)&amp;MID(L632,2,3)+1),CELL("address",AD632))</f>
        <v>G637</v>
      </c>
      <c r="N632" s="98" t="str">
        <f ca="1">IF(J631&gt;=8,(MID(M632,1,1)&amp;MID(M632,2,3)+1),CELL("address",AE632))</f>
        <v>$AE$632</v>
      </c>
      <c r="O632" s="98" t="str">
        <f ca="1">IF(J631&gt;=9,(MID(N632,1,1)&amp;MID(N632,2,3)+1),CELL("address",AF632))</f>
        <v>$AF$632</v>
      </c>
      <c r="P632" s="98" t="str">
        <f ca="1">IF(J631&gt;=10,(MID(O632,1,1)&amp;MID(O632,2,3)+1),CELL("address",AG632))</f>
        <v>$AG$632</v>
      </c>
      <c r="Q632" s="98" t="str">
        <f ca="1">IF(J631&gt;=11,(MID(P632,1,1)&amp;MID(P632,2,3)+1),CELL("address",AH632))</f>
        <v>$AH$632</v>
      </c>
      <c r="R632" s="98" t="str">
        <f ca="1">IF(J631&gt;=12,(MID(Q632,1,1)&amp;MID(Q632,2,3)+1),CELL("address",AI632))</f>
        <v>$AI$632</v>
      </c>
    </row>
    <row r="633" spans="1:15" ht="15" customHeight="1">
      <c r="A633" s="260"/>
      <c r="B633" s="260"/>
      <c r="C633" s="260"/>
      <c r="D633" s="45" t="s">
        <v>91</v>
      </c>
      <c r="E633" s="46">
        <v>2.086</v>
      </c>
      <c r="F633" s="98"/>
      <c r="G633" s="92" t="str">
        <f>CONCATENATE(D633," - ",E633,", ")</f>
        <v>4/core PVC Alumn. Cable scrap - 2.086, </v>
      </c>
      <c r="H633" s="98"/>
      <c r="I633" s="98"/>
      <c r="J633" s="98"/>
      <c r="K633" s="98"/>
      <c r="L633" s="98"/>
      <c r="M633" s="98"/>
      <c r="N633" s="98"/>
      <c r="O633" s="98"/>
    </row>
    <row r="634" spans="1:15" ht="15" customHeight="1">
      <c r="A634" s="260"/>
      <c r="B634" s="260"/>
      <c r="C634" s="260"/>
      <c r="D634" s="45" t="s">
        <v>97</v>
      </c>
      <c r="E634" s="47">
        <v>0.143</v>
      </c>
      <c r="F634" s="98"/>
      <c r="G634" s="92" t="str">
        <f>CONCATENATE(D634," - ",E634,", ")</f>
        <v>1/ core XLPE Alu cable scrap - 0.143, </v>
      </c>
      <c r="H634" s="98"/>
      <c r="I634" s="98" t="e">
        <f ca="1">IF(G633&gt;=6,(MID(H634,1,1)&amp;MID(H634,2,3)+1),CELL("address",Z634))</f>
        <v>#VALUE!</v>
      </c>
      <c r="J634" s="98" t="e">
        <f ca="1">IF(G633&gt;=7,(MID(I634,1,1)&amp;MID(I634,2,3)+1),CELL("address",AA634))</f>
        <v>#VALUE!</v>
      </c>
      <c r="K634" s="98" t="e">
        <f ca="1">IF(G633&gt;=8,(MID(J634,1,1)&amp;MID(J634,2,3)+1),CELL("address",AB634))</f>
        <v>#VALUE!</v>
      </c>
      <c r="L634" s="98" t="e">
        <f ca="1">IF(G633&gt;=9,(MID(K634,1,1)&amp;MID(K634,2,3)+1),CELL("address",AC634))</f>
        <v>#VALUE!</v>
      </c>
      <c r="M634" s="98" t="e">
        <f ca="1">IF(G633&gt;=10,(MID(L634,1,1)&amp;MID(L634,2,3)+1),CELL("address",AD634))</f>
        <v>#VALUE!</v>
      </c>
      <c r="N634" s="98" t="e">
        <f ca="1">IF(G633&gt;=11,(MID(M634,1,1)&amp;MID(M634,2,3)+1),CELL("address",AE634))</f>
        <v>#VALUE!</v>
      </c>
      <c r="O634" s="98" t="e">
        <f ca="1">IF(G633&gt;=12,(MID(N634,1,1)&amp;MID(N634,2,3)+1),CELL("address",AF634))</f>
        <v>#VALUE!</v>
      </c>
    </row>
    <row r="635" spans="1:8" ht="15" customHeight="1">
      <c r="A635" s="260"/>
      <c r="B635" s="260"/>
      <c r="C635" s="260"/>
      <c r="D635" s="45" t="s">
        <v>92</v>
      </c>
      <c r="E635" s="194">
        <v>5.469</v>
      </c>
      <c r="G635" s="92" t="str">
        <f>CONCATENATE(D635," - ",E635,", ")</f>
        <v>3/ core XLPE Alu cable scrap - 5.469, </v>
      </c>
      <c r="H635" s="1"/>
    </row>
    <row r="636" spans="1:8" ht="15" customHeight="1">
      <c r="A636" s="260"/>
      <c r="B636" s="260"/>
      <c r="C636" s="260"/>
      <c r="D636" s="45" t="s">
        <v>168</v>
      </c>
      <c r="E636" s="194">
        <v>5.324</v>
      </c>
      <c r="G636" s="92" t="str">
        <f>CONCATENATE(D636," - ",E636,", ")</f>
        <v>ABC cable scrap (70/95 mm) - 5.324, </v>
      </c>
      <c r="H636" s="1"/>
    </row>
    <row r="637" spans="1:8" ht="15" customHeight="1">
      <c r="A637" s="39"/>
      <c r="B637" s="41"/>
      <c r="C637" s="42"/>
      <c r="D637" s="76"/>
      <c r="E637" s="77"/>
      <c r="H637" s="1"/>
    </row>
    <row r="638" spans="1:8" ht="15" customHeight="1">
      <c r="A638" s="39"/>
      <c r="B638" s="230"/>
      <c r="C638" s="231"/>
      <c r="D638" s="232"/>
      <c r="E638" s="176">
        <f>SUM(E640:E643)</f>
        <v>4.52</v>
      </c>
      <c r="H638" s="1"/>
    </row>
    <row r="639" spans="1:18" ht="15" customHeight="1">
      <c r="A639" s="40" t="s">
        <v>5</v>
      </c>
      <c r="B639" s="262" t="s">
        <v>17</v>
      </c>
      <c r="C639" s="263"/>
      <c r="D639" s="222" t="s">
        <v>18</v>
      </c>
      <c r="E639" s="39" t="s">
        <v>7</v>
      </c>
      <c r="G639" s="93" t="str">
        <f>CONCATENATE("Cable Scrap, Lying at ",B640,". Quantity in MT - ")</f>
        <v>Cable Scrap, Lying at OL Mansa. Quantity in MT - </v>
      </c>
      <c r="H639" s="268" t="str">
        <f ca="1">CONCATENATE(G639,G640,(INDIRECT(I640)),(INDIRECT(J640)),(INDIRECT(K640)),(INDIRECT(L640)),(INDIRECT(M640)),(INDIRECT(N640)),(INDIRECT(O640)),(INDIRECT(P640)),(INDIRECT(Q640)),(INDIRECT(R640)))</f>
        <v>Cable Scrap, Lying at OL Mansa. Quantity in MT - 2/core PVC Alumn. Cable scrap - 0.667, 4/core PVC Alumn. Cable scrap - 1.882, 3/ core XLPE Alu cable scrap - 1.881, ABC cable scrap (70/95 mm) - 0.09, </v>
      </c>
      <c r="I639" s="98" t="str">
        <f aca="true" ca="1" t="array" ref="I639">CELL("address",INDEX(G639:G663,MATCH(TRUE,ISBLANK(G639:G663),0)))</f>
        <v>$G$644</v>
      </c>
      <c r="J639" s="98">
        <f aca="true" t="array" ref="J639">MATCH(TRUE,ISBLANK(G639:G663),0)</f>
        <v>6</v>
      </c>
      <c r="K639" s="98">
        <f>J639-3</f>
        <v>3</v>
      </c>
      <c r="L639" s="98"/>
      <c r="M639" s="98"/>
      <c r="N639" s="98"/>
      <c r="O639" s="98"/>
      <c r="P639" s="98"/>
      <c r="Q639" s="98"/>
      <c r="R639" s="98"/>
    </row>
    <row r="640" spans="1:18" ht="15" customHeight="1">
      <c r="A640" s="260" t="s">
        <v>189</v>
      </c>
      <c r="B640" s="260" t="s">
        <v>59</v>
      </c>
      <c r="C640" s="260"/>
      <c r="D640" s="45" t="s">
        <v>90</v>
      </c>
      <c r="E640" s="69">
        <v>0.667</v>
      </c>
      <c r="F640" s="98"/>
      <c r="G640" s="92" t="str">
        <f>CONCATENATE(D640," - ",E640,", ")</f>
        <v>2/core PVC Alumn. Cable scrap - 0.667, </v>
      </c>
      <c r="H640" s="268"/>
      <c r="I640" s="98" t="str">
        <f ca="1">IF(J639&gt;=3,(MID(I639,2,1)&amp;MID(I639,4,3)-K639),CELL("address",Z640))</f>
        <v>G641</v>
      </c>
      <c r="J640" s="98" t="str">
        <f ca="1">IF(J639&gt;=4,(MID(I640,1,1)&amp;MID(I640,2,3)+1),CELL("address",AA640))</f>
        <v>G642</v>
      </c>
      <c r="K640" s="98" t="str">
        <f ca="1">IF(J639&gt;=5,(MID(J640,1,1)&amp;MID(J640,2,3)+1),CELL("address",AB640))</f>
        <v>G643</v>
      </c>
      <c r="L640" s="98" t="str">
        <f ca="1">IF(J639&gt;=6,(MID(K640,1,1)&amp;MID(K640,2,3)+1),CELL("address",AC640))</f>
        <v>G644</v>
      </c>
      <c r="M640" s="98" t="str">
        <f ca="1">IF(J639&gt;=7,(MID(L640,1,1)&amp;MID(L640,2,3)+1),CELL("address",AD640))</f>
        <v>$AD$640</v>
      </c>
      <c r="N640" s="98" t="str">
        <f ca="1">IF(J639&gt;=8,(MID(M640,1,1)&amp;MID(M640,2,3)+1),CELL("address",AE640))</f>
        <v>$AE$640</v>
      </c>
      <c r="O640" s="98" t="str">
        <f ca="1">IF(J639&gt;=9,(MID(N640,1,1)&amp;MID(N640,2,3)+1),CELL("address",AF640))</f>
        <v>$AF$640</v>
      </c>
      <c r="P640" s="98" t="str">
        <f ca="1">IF(J639&gt;=10,(MID(O640,1,1)&amp;MID(O640,2,3)+1),CELL("address",AG640))</f>
        <v>$AG$640</v>
      </c>
      <c r="Q640" s="98" t="str">
        <f ca="1">IF(J639&gt;=11,(MID(P640,1,1)&amp;MID(P640,2,3)+1),CELL("address",AH640))</f>
        <v>$AH$640</v>
      </c>
      <c r="R640" s="98" t="str">
        <f ca="1">IF(J639&gt;=12,(MID(Q640,1,1)&amp;MID(Q640,2,3)+1),CELL("address",AI640))</f>
        <v>$AI$640</v>
      </c>
    </row>
    <row r="641" spans="1:15" ht="15" customHeight="1">
      <c r="A641" s="260"/>
      <c r="B641" s="260"/>
      <c r="C641" s="260"/>
      <c r="D641" s="45" t="s">
        <v>91</v>
      </c>
      <c r="E641" s="69">
        <v>1.882</v>
      </c>
      <c r="F641" s="98"/>
      <c r="G641" s="92" t="str">
        <f>CONCATENATE(D641," - ",E641,", ")</f>
        <v>4/core PVC Alumn. Cable scrap - 1.882, </v>
      </c>
      <c r="H641" s="98"/>
      <c r="I641" s="98" t="e">
        <f ca="1">IF(G640&gt;=6,(MID(H641,1,1)&amp;MID(H641,2,3)+1),CELL("address",Z641))</f>
        <v>#VALUE!</v>
      </c>
      <c r="J641" s="98" t="e">
        <f ca="1">IF(G640&gt;=7,(MID(I641,1,1)&amp;MID(I641,2,3)+1),CELL("address",AA641))</f>
        <v>#VALUE!</v>
      </c>
      <c r="K641" s="98" t="e">
        <f ca="1">IF(G640&gt;=8,(MID(J641,1,1)&amp;MID(J641,2,3)+1),CELL("address",AB641))</f>
        <v>#VALUE!</v>
      </c>
      <c r="L641" s="98" t="e">
        <f ca="1">IF(G640&gt;=9,(MID(K641,1,1)&amp;MID(K641,2,3)+1),CELL("address",AC641))</f>
        <v>#VALUE!</v>
      </c>
      <c r="M641" s="98" t="e">
        <f ca="1">IF(G640&gt;=10,(MID(L641,1,1)&amp;MID(L641,2,3)+1),CELL("address",AD641))</f>
        <v>#VALUE!</v>
      </c>
      <c r="N641" s="98" t="e">
        <f ca="1">IF(G640&gt;=11,(MID(M641,1,1)&amp;MID(M641,2,3)+1),CELL("address",AE641))</f>
        <v>#VALUE!</v>
      </c>
      <c r="O641" s="98" t="e">
        <f ca="1">IF(G640&gt;=12,(MID(N641,1,1)&amp;MID(N641,2,3)+1),CELL("address",AF641))</f>
        <v>#VALUE!</v>
      </c>
    </row>
    <row r="642" spans="1:8" ht="15" customHeight="1">
      <c r="A642" s="260"/>
      <c r="B642" s="260"/>
      <c r="C642" s="260"/>
      <c r="D642" s="45" t="s">
        <v>92</v>
      </c>
      <c r="E642" s="69">
        <v>1.881</v>
      </c>
      <c r="G642" s="92" t="str">
        <f>CONCATENATE(D642," - ",E642,", ")</f>
        <v>3/ core XLPE Alu cable scrap - 1.881, </v>
      </c>
      <c r="H642" s="1"/>
    </row>
    <row r="643" spans="1:8" ht="15" customHeight="1">
      <c r="A643" s="260"/>
      <c r="B643" s="260"/>
      <c r="C643" s="260"/>
      <c r="D643" s="45" t="s">
        <v>168</v>
      </c>
      <c r="E643" s="177">
        <v>0.09</v>
      </c>
      <c r="G643" s="92" t="str">
        <f>CONCATENATE(D643," - ",E643,", ")</f>
        <v>ABC cable scrap (70/95 mm) - 0.09, </v>
      </c>
      <c r="H643" s="1"/>
    </row>
    <row r="644" spans="1:8" ht="15" customHeight="1">
      <c r="A644" s="39"/>
      <c r="B644" s="41"/>
      <c r="C644" s="42"/>
      <c r="D644" s="76"/>
      <c r="E644" s="178"/>
      <c r="H644" s="1"/>
    </row>
    <row r="645" spans="1:8" ht="15" customHeight="1">
      <c r="A645" s="39"/>
      <c r="B645" s="230"/>
      <c r="C645" s="231"/>
      <c r="D645" s="232"/>
      <c r="E645" s="176">
        <f>SUM(E647:E650)</f>
        <v>8.555</v>
      </c>
      <c r="H645" s="1"/>
    </row>
    <row r="646" spans="1:18" ht="15" customHeight="1">
      <c r="A646" s="40" t="s">
        <v>5</v>
      </c>
      <c r="B646" s="262" t="s">
        <v>17</v>
      </c>
      <c r="C646" s="263"/>
      <c r="D646" s="222" t="s">
        <v>18</v>
      </c>
      <c r="E646" s="39" t="s">
        <v>7</v>
      </c>
      <c r="G646" s="93" t="str">
        <f>CONCATENATE("Cable Scrap, Lying at ",B647,". Quantity in MT - ")</f>
        <v>Cable Scrap, Lying at CS Kotkapura. Quantity in MT - </v>
      </c>
      <c r="H646" s="268" t="str">
        <f ca="1">CONCATENATE(G646,G647,(INDIRECT(I647)),(INDIRECT(J647)),(INDIRECT(K647)),(INDIRECT(L647)),(INDIRECT(M647)),(INDIRECT(N647)),(INDIRECT(O647)),(INDIRECT(P647)),(INDIRECT(Q647)),(INDIRECT(R647)))</f>
        <v>Cable Scrap, Lying at CS Kotkapura. Quantity in MT - 2/core PVC Alumn. Cable scrap - 1.324, 4/core PVC Alumn. Cable scrap - 2.291, 3/ core XLPE Alu cable scrap - 4.879, 1/ core XLPE Alu cable scrap - 0.061, </v>
      </c>
      <c r="I646" s="98" t="str">
        <f aca="true" ca="1" t="array" ref="I646">CELL("address",INDEX(G646:G670,MATCH(TRUE,ISBLANK(G646:G670),0)))</f>
        <v>$G$651</v>
      </c>
      <c r="J646" s="98">
        <f aca="true" t="array" ref="J646">MATCH(TRUE,ISBLANK(G646:G670),0)</f>
        <v>6</v>
      </c>
      <c r="K646" s="98">
        <f>J646-3</f>
        <v>3</v>
      </c>
      <c r="L646" s="98"/>
      <c r="M646" s="98"/>
      <c r="N646" s="98"/>
      <c r="O646" s="98"/>
      <c r="P646" s="98"/>
      <c r="Q646" s="98"/>
      <c r="R646" s="98"/>
    </row>
    <row r="647" spans="1:18" ht="15" customHeight="1">
      <c r="A647" s="260" t="s">
        <v>191</v>
      </c>
      <c r="B647" s="260" t="s">
        <v>43</v>
      </c>
      <c r="C647" s="260"/>
      <c r="D647" s="45" t="s">
        <v>90</v>
      </c>
      <c r="E647" s="69">
        <v>1.324</v>
      </c>
      <c r="F647" s="98"/>
      <c r="G647" s="92" t="str">
        <f>CONCATENATE(D647," - ",E647,", ")</f>
        <v>2/core PVC Alumn. Cable scrap - 1.324, </v>
      </c>
      <c r="H647" s="268"/>
      <c r="I647" s="98" t="str">
        <f ca="1">IF(J646&gt;=3,(MID(I646,2,1)&amp;MID(I646,4,3)-K646),CELL("address",Z647))</f>
        <v>G648</v>
      </c>
      <c r="J647" s="98" t="str">
        <f ca="1">IF(J646&gt;=4,(MID(I647,1,1)&amp;MID(I647,2,3)+1),CELL("address",AA647))</f>
        <v>G649</v>
      </c>
      <c r="K647" s="98" t="str">
        <f ca="1">IF(J646&gt;=5,(MID(J647,1,1)&amp;MID(J647,2,3)+1),CELL("address",AB647))</f>
        <v>G650</v>
      </c>
      <c r="L647" s="98" t="str">
        <f ca="1">IF(J646&gt;=6,(MID(K647,1,1)&amp;MID(K647,2,3)+1),CELL("address",AC647))</f>
        <v>G651</v>
      </c>
      <c r="M647" s="98" t="str">
        <f ca="1">IF(J646&gt;=7,(MID(L647,1,1)&amp;MID(L647,2,3)+1),CELL("address",AD647))</f>
        <v>$AD$647</v>
      </c>
      <c r="N647" s="98" t="str">
        <f ca="1">IF(J646&gt;=8,(MID(M647,1,1)&amp;MID(M647,2,3)+1),CELL("address",AE647))</f>
        <v>$AE$647</v>
      </c>
      <c r="O647" s="98" t="str">
        <f ca="1">IF(J646&gt;=9,(MID(N647,1,1)&amp;MID(N647,2,3)+1),CELL("address",AF647))</f>
        <v>$AF$647</v>
      </c>
      <c r="P647" s="98" t="str">
        <f ca="1">IF(J646&gt;=10,(MID(O647,1,1)&amp;MID(O647,2,3)+1),CELL("address",AG647))</f>
        <v>$AG$647</v>
      </c>
      <c r="Q647" s="98" t="str">
        <f ca="1">IF(J646&gt;=11,(MID(P647,1,1)&amp;MID(P647,2,3)+1),CELL("address",AH647))</f>
        <v>$AH$647</v>
      </c>
      <c r="R647" s="98" t="str">
        <f ca="1">IF(J646&gt;=12,(MID(Q647,1,1)&amp;MID(Q647,2,3)+1),CELL("address",AI647))</f>
        <v>$AI$647</v>
      </c>
    </row>
    <row r="648" spans="1:15" ht="15" customHeight="1">
      <c r="A648" s="260"/>
      <c r="B648" s="260"/>
      <c r="C648" s="260"/>
      <c r="D648" s="45" t="s">
        <v>91</v>
      </c>
      <c r="E648" s="69">
        <v>2.291</v>
      </c>
      <c r="F648" s="98"/>
      <c r="G648" s="92" t="str">
        <f>CONCATENATE(D648," - ",E648,", ")</f>
        <v>4/core PVC Alumn. Cable scrap - 2.291, </v>
      </c>
      <c r="H648" s="98"/>
      <c r="I648" s="98" t="e">
        <f ca="1">IF(G647&gt;=6,(MID(H648,1,1)&amp;MID(H648,2,3)+1),CELL("address",Z648))</f>
        <v>#VALUE!</v>
      </c>
      <c r="J648" s="98" t="e">
        <f ca="1">IF(G647&gt;=7,(MID(I648,1,1)&amp;MID(I648,2,3)+1),CELL("address",AA648))</f>
        <v>#VALUE!</v>
      </c>
      <c r="K648" s="98" t="e">
        <f ca="1">IF(G647&gt;=8,(MID(J648,1,1)&amp;MID(J648,2,3)+1),CELL("address",AB648))</f>
        <v>#VALUE!</v>
      </c>
      <c r="L648" s="98" t="e">
        <f ca="1">IF(G647&gt;=9,(MID(K648,1,1)&amp;MID(K648,2,3)+1),CELL("address",AC648))</f>
        <v>#VALUE!</v>
      </c>
      <c r="M648" s="98" t="e">
        <f ca="1">IF(G647&gt;=10,(MID(L648,1,1)&amp;MID(L648,2,3)+1),CELL("address",AD648))</f>
        <v>#VALUE!</v>
      </c>
      <c r="N648" s="98" t="e">
        <f ca="1">IF(G647&gt;=11,(MID(M648,1,1)&amp;MID(M648,2,3)+1),CELL("address",AE648))</f>
        <v>#VALUE!</v>
      </c>
      <c r="O648" s="98" t="e">
        <f ca="1">IF(G647&gt;=12,(MID(N648,1,1)&amp;MID(N648,2,3)+1),CELL("address",AF648))</f>
        <v>#VALUE!</v>
      </c>
    </row>
    <row r="649" spans="1:8" ht="15" customHeight="1">
      <c r="A649" s="260"/>
      <c r="B649" s="260"/>
      <c r="C649" s="260"/>
      <c r="D649" s="45" t="s">
        <v>92</v>
      </c>
      <c r="E649" s="120">
        <v>4.879</v>
      </c>
      <c r="G649" s="92" t="str">
        <f>CONCATENATE(D649," - ",E649,", ")</f>
        <v>3/ core XLPE Alu cable scrap - 4.879, </v>
      </c>
      <c r="H649" s="1"/>
    </row>
    <row r="650" spans="1:8" ht="15" customHeight="1">
      <c r="A650" s="260"/>
      <c r="B650" s="260"/>
      <c r="C650" s="260"/>
      <c r="D650" s="45" t="s">
        <v>97</v>
      </c>
      <c r="E650" s="120">
        <v>0.061</v>
      </c>
      <c r="G650" s="92" t="str">
        <f>CONCATENATE(D650," - ",E650,", ")</f>
        <v>1/ core XLPE Alu cable scrap - 0.061, </v>
      </c>
      <c r="H650" s="1"/>
    </row>
    <row r="651" spans="1:8" ht="15" customHeight="1">
      <c r="A651" s="39"/>
      <c r="B651" s="41"/>
      <c r="C651" s="42"/>
      <c r="D651" s="34"/>
      <c r="E651" s="163"/>
      <c r="H651" s="1"/>
    </row>
    <row r="652" spans="1:8" ht="15" customHeight="1">
      <c r="A652" s="39"/>
      <c r="B652" s="230"/>
      <c r="C652" s="231"/>
      <c r="D652" s="232"/>
      <c r="E652" s="176">
        <f>SUM(E654:E657)</f>
        <v>4.02</v>
      </c>
      <c r="H652" s="1"/>
    </row>
    <row r="653" spans="1:18" ht="15" customHeight="1">
      <c r="A653" s="40" t="s">
        <v>5</v>
      </c>
      <c r="B653" s="262" t="s">
        <v>17</v>
      </c>
      <c r="C653" s="263"/>
      <c r="D653" s="222" t="s">
        <v>18</v>
      </c>
      <c r="E653" s="39" t="s">
        <v>7</v>
      </c>
      <c r="G653" s="93" t="str">
        <f>CONCATENATE("Cable Scrap, Lying at ",B654,". Quantity in MT - ")</f>
        <v>Cable Scrap, Lying at OL Patran. Quantity in MT - </v>
      </c>
      <c r="H653" s="268" t="str">
        <f ca="1">CONCATENATE(G653,G654,(INDIRECT(I654)),(INDIRECT(J654)),(INDIRECT(K654)),(INDIRECT(L654)),(INDIRECT(M654)),(INDIRECT(N654)),(INDIRECT(O654)),(INDIRECT(P654)),(INDIRECT(Q654)),(INDIRECT(R654)))</f>
        <v>Cable Scrap, Lying at OL Patran. Quantity in MT - 2/core PVC Alumn. Cable scrap - 0.647, 4/core PVC Alumn. Cable scrap - 1.2, 3/ core XLPE Alu cable scrap - 1.908, ABC cable scrap (150 mm) - 0.265, </v>
      </c>
      <c r="I653" s="98" t="str">
        <f aca="true" ca="1" t="array" ref="I653">CELL("address",INDEX(G653:G677,MATCH(TRUE,ISBLANK(G653:G677),0)))</f>
        <v>$G$658</v>
      </c>
      <c r="J653" s="98">
        <f aca="true" t="array" ref="J653">MATCH(TRUE,ISBLANK(G653:G677),0)</f>
        <v>6</v>
      </c>
      <c r="K653" s="98">
        <f>J653-3</f>
        <v>3</v>
      </c>
      <c r="L653" s="98"/>
      <c r="M653" s="98"/>
      <c r="N653" s="98"/>
      <c r="O653" s="98"/>
      <c r="P653" s="98"/>
      <c r="Q653" s="98"/>
      <c r="R653" s="98"/>
    </row>
    <row r="654" spans="1:18" ht="15" customHeight="1">
      <c r="A654" s="260" t="s">
        <v>167</v>
      </c>
      <c r="B654" s="260" t="s">
        <v>102</v>
      </c>
      <c r="C654" s="260"/>
      <c r="D654" s="45" t="s">
        <v>90</v>
      </c>
      <c r="E654" s="69">
        <v>0.647</v>
      </c>
      <c r="F654" s="98"/>
      <c r="G654" s="92" t="str">
        <f>CONCATENATE(D654," - ",E654,", ")</f>
        <v>2/core PVC Alumn. Cable scrap - 0.647, </v>
      </c>
      <c r="H654" s="268"/>
      <c r="I654" s="98" t="str">
        <f ca="1">IF(J653&gt;=3,(MID(I653,2,1)&amp;MID(I653,4,3)-K653),CELL("address",Z654))</f>
        <v>G655</v>
      </c>
      <c r="J654" s="98" t="str">
        <f ca="1">IF(J653&gt;=4,(MID(I654,1,1)&amp;MID(I654,2,3)+1),CELL("address",AA654))</f>
        <v>G656</v>
      </c>
      <c r="K654" s="98" t="str">
        <f ca="1">IF(J653&gt;=5,(MID(J654,1,1)&amp;MID(J654,2,3)+1),CELL("address",AB654))</f>
        <v>G657</v>
      </c>
      <c r="L654" s="98" t="str">
        <f ca="1">IF(J653&gt;=6,(MID(K654,1,1)&amp;MID(K654,2,3)+1),CELL("address",AC654))</f>
        <v>G658</v>
      </c>
      <c r="M654" s="98" t="str">
        <f ca="1">IF(J653&gt;=7,(MID(L654,1,1)&amp;MID(L654,2,3)+1),CELL("address",AD654))</f>
        <v>$AD$654</v>
      </c>
      <c r="N654" s="98" t="str">
        <f ca="1">IF(J653&gt;=8,(MID(M654,1,1)&amp;MID(M654,2,3)+1),CELL("address",AE654))</f>
        <v>$AE$654</v>
      </c>
      <c r="O654" s="98" t="str">
        <f ca="1">IF(J653&gt;=9,(MID(N654,1,1)&amp;MID(N654,2,3)+1),CELL("address",AF654))</f>
        <v>$AF$654</v>
      </c>
      <c r="P654" s="98" t="str">
        <f ca="1">IF(J653&gt;=10,(MID(O654,1,1)&amp;MID(O654,2,3)+1),CELL("address",AG654))</f>
        <v>$AG$654</v>
      </c>
      <c r="Q654" s="98" t="str">
        <f ca="1">IF(J653&gt;=11,(MID(P654,1,1)&amp;MID(P654,2,3)+1),CELL("address",AH654))</f>
        <v>$AH$654</v>
      </c>
      <c r="R654" s="98" t="str">
        <f ca="1">IF(J653&gt;=12,(MID(Q654,1,1)&amp;MID(Q654,2,3)+1),CELL("address",AI654))</f>
        <v>$AI$654</v>
      </c>
    </row>
    <row r="655" spans="1:15" ht="15" customHeight="1">
      <c r="A655" s="260"/>
      <c r="B655" s="260"/>
      <c r="C655" s="260"/>
      <c r="D655" s="45" t="s">
        <v>91</v>
      </c>
      <c r="E655" s="69">
        <v>1.2</v>
      </c>
      <c r="F655" s="98"/>
      <c r="G655" s="92" t="str">
        <f>CONCATENATE(D655," - ",E655,", ")</f>
        <v>4/core PVC Alumn. Cable scrap - 1.2, </v>
      </c>
      <c r="H655" s="98"/>
      <c r="I655" s="98" t="e">
        <f ca="1">IF(G654&gt;=6,(MID(H655,1,1)&amp;MID(H655,2,3)+1),CELL("address",Z655))</f>
        <v>#VALUE!</v>
      </c>
      <c r="J655" s="98" t="e">
        <f ca="1">IF(G654&gt;=7,(MID(I655,1,1)&amp;MID(I655,2,3)+1),CELL("address",AA655))</f>
        <v>#VALUE!</v>
      </c>
      <c r="K655" s="98" t="e">
        <f ca="1">IF(G654&gt;=8,(MID(J655,1,1)&amp;MID(J655,2,3)+1),CELL("address",AB655))</f>
        <v>#VALUE!</v>
      </c>
      <c r="L655" s="98" t="e">
        <f ca="1">IF(G654&gt;=9,(MID(K655,1,1)&amp;MID(K655,2,3)+1),CELL("address",AC655))</f>
        <v>#VALUE!</v>
      </c>
      <c r="M655" s="98" t="e">
        <f ca="1">IF(G654&gt;=10,(MID(L655,1,1)&amp;MID(L655,2,3)+1),CELL("address",AD655))</f>
        <v>#VALUE!</v>
      </c>
      <c r="N655" s="98" t="e">
        <f ca="1">IF(G654&gt;=11,(MID(M655,1,1)&amp;MID(M655,2,3)+1),CELL("address",AE655))</f>
        <v>#VALUE!</v>
      </c>
      <c r="O655" s="98" t="e">
        <f ca="1">IF(G654&gt;=12,(MID(N655,1,1)&amp;MID(N655,2,3)+1),CELL("address",AF655))</f>
        <v>#VALUE!</v>
      </c>
    </row>
    <row r="656" spans="1:8" ht="15" customHeight="1">
      <c r="A656" s="260"/>
      <c r="B656" s="260"/>
      <c r="C656" s="260"/>
      <c r="D656" s="45" t="s">
        <v>92</v>
      </c>
      <c r="E656" s="69">
        <v>1.908</v>
      </c>
      <c r="G656" s="92" t="str">
        <f>CONCATENATE(D656," - ",E656,", ")</f>
        <v>3/ core XLPE Alu cable scrap - 1.908, </v>
      </c>
      <c r="H656" s="1"/>
    </row>
    <row r="657" spans="1:8" ht="15" customHeight="1">
      <c r="A657" s="260"/>
      <c r="B657" s="260"/>
      <c r="C657" s="260"/>
      <c r="D657" s="45" t="s">
        <v>246</v>
      </c>
      <c r="E657" s="69">
        <v>0.265</v>
      </c>
      <c r="G657" s="92" t="str">
        <f>CONCATENATE(D657," - ",E657,", ")</f>
        <v>ABC cable scrap (150 mm) - 0.265, </v>
      </c>
      <c r="H657" s="1"/>
    </row>
    <row r="658" spans="1:8" ht="15" customHeight="1">
      <c r="A658" s="39"/>
      <c r="B658" s="41"/>
      <c r="C658" s="42"/>
      <c r="D658" s="34"/>
      <c r="E658" s="163"/>
      <c r="H658" s="1"/>
    </row>
    <row r="659" spans="1:8" ht="15" customHeight="1">
      <c r="A659" s="39"/>
      <c r="B659" s="48"/>
      <c r="C659" s="223"/>
      <c r="D659" s="229"/>
      <c r="E659" s="179">
        <f>SUM(E661:E665)</f>
        <v>2.78</v>
      </c>
      <c r="H659" s="1"/>
    </row>
    <row r="660" spans="1:18" ht="15" customHeight="1">
      <c r="A660" s="40" t="s">
        <v>5</v>
      </c>
      <c r="B660" s="262" t="s">
        <v>17</v>
      </c>
      <c r="C660" s="263"/>
      <c r="D660" s="222" t="s">
        <v>18</v>
      </c>
      <c r="E660" s="39" t="s">
        <v>7</v>
      </c>
      <c r="G660" s="93" t="str">
        <f>CONCATENATE("Cable Scrap, Lying at ",B661,". Quantity in MT - ")</f>
        <v>Cable Scrap, Lying at OL Ropar. Quantity in MT - </v>
      </c>
      <c r="H660" s="268" t="str">
        <f ca="1">CONCATENATE(G660,G661,(INDIRECT(I661)),(INDIRECT(J661)),(INDIRECT(K661)),(INDIRECT(L661)),(INDIRECT(M661)),(INDIRECT(N661)),(INDIRECT(O661)),(INDIRECT(P661)),(INDIRECT(Q661)),(INDIRECT(R661)))</f>
        <v>Cable Scrap, Lying at OL Ropar. Quantity in MT - 2/core PVC Alumn. Cable scrap - 0.51, 4/core PVC Alumn. Cable scrap - 0.587, 3/ core XLPE Alu cable scrap - 1.639, 1/core PVC Alumn. Cable scrap - 0.017, Alu.  seals scrap with lash wire - 0.027, </v>
      </c>
      <c r="I660" s="98" t="str">
        <f aca="true" ca="1" t="array" ref="I660">CELL("address",INDEX(G660:G684,MATCH(TRUE,ISBLANK(G660:G684),0)))</f>
        <v>$G$666</v>
      </c>
      <c r="J660" s="98">
        <f aca="true" t="array" ref="J660">MATCH(TRUE,ISBLANK(G660:G684),0)</f>
        <v>7</v>
      </c>
      <c r="K660" s="98">
        <f>J660-3</f>
        <v>4</v>
      </c>
      <c r="L660" s="98"/>
      <c r="M660" s="98"/>
      <c r="N660" s="98"/>
      <c r="O660" s="98"/>
      <c r="P660" s="98"/>
      <c r="Q660" s="98"/>
      <c r="R660" s="98"/>
    </row>
    <row r="661" spans="1:18" ht="15" customHeight="1">
      <c r="A661" s="260" t="s">
        <v>169</v>
      </c>
      <c r="B661" s="260" t="s">
        <v>98</v>
      </c>
      <c r="C661" s="260"/>
      <c r="D661" s="45" t="s">
        <v>90</v>
      </c>
      <c r="E661" s="120">
        <v>0.51</v>
      </c>
      <c r="G661" s="92" t="str">
        <f>CONCATENATE(D661," - ",E661,", ")</f>
        <v>2/core PVC Alumn. Cable scrap - 0.51, </v>
      </c>
      <c r="H661" s="268"/>
      <c r="I661" s="98" t="str">
        <f ca="1">IF(J660&gt;=3,(MID(I660,2,1)&amp;MID(I660,4,3)-K660),CELL("address",Z661))</f>
        <v>G662</v>
      </c>
      <c r="J661" s="98" t="str">
        <f ca="1">IF(J660&gt;=4,(MID(I661,1,1)&amp;MID(I661,2,3)+1),CELL("address",AA661))</f>
        <v>G663</v>
      </c>
      <c r="K661" s="98" t="str">
        <f ca="1">IF(J660&gt;=5,(MID(J661,1,1)&amp;MID(J661,2,3)+1),CELL("address",AB661))</f>
        <v>G664</v>
      </c>
      <c r="L661" s="98" t="str">
        <f ca="1">IF(J660&gt;=6,(MID(K661,1,1)&amp;MID(K661,2,3)+1),CELL("address",AC661))</f>
        <v>G665</v>
      </c>
      <c r="M661" s="98" t="str">
        <f ca="1">IF(J660&gt;=7,(MID(L661,1,1)&amp;MID(L661,2,3)+1),CELL("address",AD661))</f>
        <v>G666</v>
      </c>
      <c r="N661" s="98" t="str">
        <f ca="1">IF(J660&gt;=8,(MID(M661,1,1)&amp;MID(M661,2,3)+1),CELL("address",AE661))</f>
        <v>$AE$661</v>
      </c>
      <c r="O661" s="98" t="str">
        <f ca="1">IF(J660&gt;=9,(MID(N661,1,1)&amp;MID(N661,2,3)+1),CELL("address",AF661))</f>
        <v>$AF$661</v>
      </c>
      <c r="P661" s="98" t="str">
        <f ca="1">IF(J660&gt;=10,(MID(O661,1,1)&amp;MID(O661,2,3)+1),CELL("address",AG661))</f>
        <v>$AG$661</v>
      </c>
      <c r="Q661" s="98" t="str">
        <f ca="1">IF(J660&gt;=11,(MID(P661,1,1)&amp;MID(P661,2,3)+1),CELL("address",AH661))</f>
        <v>$AH$661</v>
      </c>
      <c r="R661" s="98" t="str">
        <f ca="1">IF(J660&gt;=12,(MID(Q661,1,1)&amp;MID(Q661,2,3)+1),CELL("address",AI661))</f>
        <v>$AI$661</v>
      </c>
    </row>
    <row r="662" spans="1:15" ht="15" customHeight="1">
      <c r="A662" s="260"/>
      <c r="B662" s="260"/>
      <c r="C662" s="260"/>
      <c r="D662" s="45" t="s">
        <v>91</v>
      </c>
      <c r="E662" s="120">
        <v>0.587</v>
      </c>
      <c r="F662" s="98"/>
      <c r="G662" s="92" t="str">
        <f>CONCATENATE(D662," - ",E662,", ")</f>
        <v>4/core PVC Alumn. Cable scrap - 0.587, </v>
      </c>
      <c r="H662" s="98"/>
      <c r="I662" s="98"/>
      <c r="J662" s="98"/>
      <c r="K662" s="98"/>
      <c r="L662" s="98"/>
      <c r="M662" s="98"/>
      <c r="N662" s="98"/>
      <c r="O662" s="98"/>
    </row>
    <row r="663" spans="1:15" ht="15" customHeight="1">
      <c r="A663" s="260"/>
      <c r="B663" s="260"/>
      <c r="C663" s="260"/>
      <c r="D663" s="45" t="s">
        <v>92</v>
      </c>
      <c r="E663" s="120">
        <v>1.639</v>
      </c>
      <c r="F663" s="98"/>
      <c r="G663" s="92" t="str">
        <f>CONCATENATE(D663," - ",E663,", ")</f>
        <v>3/ core XLPE Alu cable scrap - 1.639, </v>
      </c>
      <c r="H663" s="98"/>
      <c r="I663" s="98" t="e">
        <f ca="1">IF(G662&gt;=6,(MID(H663,1,1)&amp;MID(H663,2,3)+1),CELL("address",Z663))</f>
        <v>#VALUE!</v>
      </c>
      <c r="J663" s="98" t="e">
        <f ca="1">IF(G662&gt;=7,(MID(I663,1,1)&amp;MID(I663,2,3)+1),CELL("address",AA663))</f>
        <v>#VALUE!</v>
      </c>
      <c r="K663" s="98" t="e">
        <f ca="1">IF(G662&gt;=8,(MID(J663,1,1)&amp;MID(J663,2,3)+1),CELL("address",AB663))</f>
        <v>#VALUE!</v>
      </c>
      <c r="L663" s="98" t="e">
        <f ca="1">IF(G662&gt;=9,(MID(K663,1,1)&amp;MID(K663,2,3)+1),CELL("address",AC663))</f>
        <v>#VALUE!</v>
      </c>
      <c r="M663" s="98" t="e">
        <f ca="1">IF(G662&gt;=10,(MID(L663,1,1)&amp;MID(L663,2,3)+1),CELL("address",AD663))</f>
        <v>#VALUE!</v>
      </c>
      <c r="N663" s="98" t="e">
        <f ca="1">IF(G662&gt;=11,(MID(M663,1,1)&amp;MID(M663,2,3)+1),CELL("address",AE663))</f>
        <v>#VALUE!</v>
      </c>
      <c r="O663" s="98" t="e">
        <f ca="1">IF(G662&gt;=12,(MID(N663,1,1)&amp;MID(N663,2,3)+1),CELL("address",AF663))</f>
        <v>#VALUE!</v>
      </c>
    </row>
    <row r="664" spans="1:8" ht="15" customHeight="1">
      <c r="A664" s="260"/>
      <c r="B664" s="260"/>
      <c r="C664" s="260"/>
      <c r="D664" s="45" t="s">
        <v>171</v>
      </c>
      <c r="E664" s="120">
        <v>0.017</v>
      </c>
      <c r="G664" s="92" t="str">
        <f>CONCATENATE(D664," - ",E664,", ")</f>
        <v>1/core PVC Alumn. Cable scrap - 0.017, </v>
      </c>
      <c r="H664" s="1"/>
    </row>
    <row r="665" spans="1:8" ht="15" customHeight="1">
      <c r="A665" s="260"/>
      <c r="B665" s="260"/>
      <c r="C665" s="260"/>
      <c r="D665" s="45" t="s">
        <v>333</v>
      </c>
      <c r="E665" s="120">
        <v>0.027</v>
      </c>
      <c r="G665" s="92" t="str">
        <f>CONCATENATE(D665," - ",E665,", ")</f>
        <v>Alu.  seals scrap with lash wire - 0.027, </v>
      </c>
      <c r="H665" s="1"/>
    </row>
    <row r="666" spans="1:8" ht="15" customHeight="1">
      <c r="A666" s="39"/>
      <c r="B666" s="41"/>
      <c r="C666" s="42"/>
      <c r="D666" s="34"/>
      <c r="E666" s="163"/>
      <c r="H666" s="1"/>
    </row>
    <row r="667" spans="1:8" ht="15" customHeight="1">
      <c r="A667" s="39"/>
      <c r="B667" s="48"/>
      <c r="C667" s="223"/>
      <c r="D667" s="229"/>
      <c r="E667" s="179">
        <f>SUM(E669:E671)</f>
        <v>7.553</v>
      </c>
      <c r="H667" s="1"/>
    </row>
    <row r="668" spans="1:18" ht="15" customHeight="1">
      <c r="A668" s="40" t="s">
        <v>5</v>
      </c>
      <c r="B668" s="262" t="s">
        <v>17</v>
      </c>
      <c r="C668" s="263"/>
      <c r="D668" s="222" t="s">
        <v>18</v>
      </c>
      <c r="E668" s="39" t="s">
        <v>7</v>
      </c>
      <c r="F668" s="98"/>
      <c r="G668" s="93" t="str">
        <f>CONCATENATE("Cable Scrap, Lying at ",B669,". Quantity in MT - ")</f>
        <v>Cable Scrap, Lying at CS Malout. Quantity in MT - </v>
      </c>
      <c r="H668" s="268" t="str">
        <f ca="1">CONCATENATE(G668,G669,(INDIRECT(I669)),(INDIRECT(J669)),(INDIRECT(K669)),(INDIRECT(L669)),(INDIRECT(M669)),(INDIRECT(N669)),(INDIRECT(O669)),(INDIRECT(P669)),(INDIRECT(Q669)),(INDIRECT(R669)))</f>
        <v>Cable Scrap, Lying at CS Malout. Quantity in MT - 2/core PVC Alumn. Cable scrap - 1.32, 4/core PVC Alumn. Cable scrap - 1.595, 3/ core XLPE Alu cable scrap - 4.638, </v>
      </c>
      <c r="I668" s="98" t="str">
        <f aca="true" ca="1" t="array" ref="I668">CELL("address",INDEX(G668:G692,MATCH(TRUE,ISBLANK(G668:G692),0)))</f>
        <v>$G$672</v>
      </c>
      <c r="J668" s="98">
        <f aca="true" t="array" ref="J668">MATCH(TRUE,ISBLANK(G668:G692),0)</f>
        <v>5</v>
      </c>
      <c r="K668" s="98">
        <f>J668-3</f>
        <v>2</v>
      </c>
      <c r="L668" s="98"/>
      <c r="M668" s="98"/>
      <c r="N668" s="98"/>
      <c r="O668" s="98"/>
      <c r="P668" s="98"/>
      <c r="Q668" s="98"/>
      <c r="R668" s="98"/>
    </row>
    <row r="669" spans="1:18" ht="15" customHeight="1">
      <c r="A669" s="260" t="s">
        <v>170</v>
      </c>
      <c r="B669" s="260" t="s">
        <v>95</v>
      </c>
      <c r="C669" s="260"/>
      <c r="D669" s="45" t="s">
        <v>90</v>
      </c>
      <c r="E669" s="120">
        <v>1.32</v>
      </c>
      <c r="F669" s="98"/>
      <c r="G669" s="92" t="str">
        <f>CONCATENATE(D669," - ",E669,", ")</f>
        <v>2/core PVC Alumn. Cable scrap - 1.32, </v>
      </c>
      <c r="H669" s="268"/>
      <c r="I669" s="98" t="str">
        <f ca="1">IF(J668&gt;=3,(MID(I668,2,1)&amp;MID(I668,4,3)-K668),CELL("address",Z669))</f>
        <v>G670</v>
      </c>
      <c r="J669" s="98" t="str">
        <f ca="1">IF(J668&gt;=4,(MID(I669,1,1)&amp;MID(I669,2,3)+1),CELL("address",AA669))</f>
        <v>G671</v>
      </c>
      <c r="K669" s="98" t="str">
        <f ca="1">IF(J668&gt;=5,(MID(J669,1,1)&amp;MID(J669,2,3)+1),CELL("address",AB669))</f>
        <v>G672</v>
      </c>
      <c r="L669" s="98" t="str">
        <f ca="1">IF(J668&gt;=6,(MID(K669,1,1)&amp;MID(K669,2,3)+1),CELL("address",AC669))</f>
        <v>$AC$669</v>
      </c>
      <c r="M669" s="98" t="str">
        <f ca="1">IF(J668&gt;=7,(MID(L669,1,1)&amp;MID(L669,2,3)+1),CELL("address",AD669))</f>
        <v>$AD$669</v>
      </c>
      <c r="N669" s="98" t="str">
        <f ca="1">IF(J668&gt;=8,(MID(M669,1,1)&amp;MID(M669,2,3)+1),CELL("address",AE669))</f>
        <v>$AE$669</v>
      </c>
      <c r="O669" s="98" t="str">
        <f ca="1">IF(J668&gt;=9,(MID(N669,1,1)&amp;MID(N669,2,3)+1),CELL("address",AF669))</f>
        <v>$AF$669</v>
      </c>
      <c r="P669" s="98" t="str">
        <f ca="1">IF(J668&gt;=10,(MID(O669,1,1)&amp;MID(O669,2,3)+1),CELL("address",AG669))</f>
        <v>$AG$669</v>
      </c>
      <c r="Q669" s="98" t="str">
        <f ca="1">IF(J668&gt;=11,(MID(P669,1,1)&amp;MID(P669,2,3)+1),CELL("address",AH669))</f>
        <v>$AH$669</v>
      </c>
      <c r="R669" s="98" t="str">
        <f ca="1">IF(J668&gt;=12,(MID(Q669,1,1)&amp;MID(Q669,2,3)+1),CELL("address",AI669))</f>
        <v>$AI$669</v>
      </c>
    </row>
    <row r="670" spans="1:8" ht="15" customHeight="1">
      <c r="A670" s="260"/>
      <c r="B670" s="260"/>
      <c r="C670" s="260"/>
      <c r="D670" s="45" t="s">
        <v>91</v>
      </c>
      <c r="E670" s="120">
        <v>1.595</v>
      </c>
      <c r="G670" s="92" t="str">
        <f>CONCATENATE(D670," - ",E670,", ")</f>
        <v>4/core PVC Alumn. Cable scrap - 1.595, </v>
      </c>
      <c r="H670" s="1"/>
    </row>
    <row r="671" spans="1:8" ht="15" customHeight="1">
      <c r="A671" s="260"/>
      <c r="B671" s="260"/>
      <c r="C671" s="260"/>
      <c r="D671" s="45" t="s">
        <v>92</v>
      </c>
      <c r="E671" s="120">
        <v>4.638</v>
      </c>
      <c r="G671" s="92" t="str">
        <f>CONCATENATE(D671," - ",E671,", ")</f>
        <v>3/ core XLPE Alu cable scrap - 4.638, </v>
      </c>
      <c r="H671" s="1"/>
    </row>
    <row r="672" spans="1:8" ht="15" customHeight="1">
      <c r="A672" s="39"/>
      <c r="B672" s="41"/>
      <c r="C672" s="42"/>
      <c r="D672" s="45"/>
      <c r="E672" s="120"/>
      <c r="H672" s="1"/>
    </row>
    <row r="673" spans="1:8" ht="15" customHeight="1">
      <c r="A673" s="39"/>
      <c r="B673" s="48"/>
      <c r="C673" s="223"/>
      <c r="D673" s="229"/>
      <c r="E673" s="179">
        <f>SUM(E675:E678)</f>
        <v>3.4060000000000006</v>
      </c>
      <c r="H673" s="1"/>
    </row>
    <row r="674" spans="1:18" ht="15" customHeight="1">
      <c r="A674" s="40" t="s">
        <v>5</v>
      </c>
      <c r="B674" s="262" t="s">
        <v>17</v>
      </c>
      <c r="C674" s="263"/>
      <c r="D674" s="222" t="s">
        <v>18</v>
      </c>
      <c r="E674" s="39" t="s">
        <v>7</v>
      </c>
      <c r="G674" s="93" t="str">
        <f>CONCATENATE("Cable Scrap, Lying at ",B675,". Quantity in MT - ")</f>
        <v>Cable Scrap, Lying at OL Nabha. Quantity in MT - </v>
      </c>
      <c r="H674" s="268" t="str">
        <f ca="1">CONCATENATE(G674,G675,(INDIRECT(I675)),(INDIRECT(J675)),(INDIRECT(K675)),(INDIRECT(L675)),(INDIRECT(M675)),(INDIRECT(N675)),(INDIRECT(O675)),(INDIRECT(P675)),(INDIRECT(Q675)),(INDIRECT(R675)))</f>
        <v>Cable Scrap, Lying at OL Nabha. Quantity in MT - 2/core PVC Alumn. Cable scrap - 1.195, 4/core PVC Alumn. Cable scrap - 1.024, 3/ core XLPE Alu cable scrap - 1.147, ABC cable scrap (70/95 mm) - 0.04, </v>
      </c>
      <c r="I674" s="98" t="str">
        <f aca="true" ca="1" t="array" ref="I674">CELL("address",INDEX(G674:G698,MATCH(TRUE,ISBLANK(G674:G698),0)))</f>
        <v>$G$679</v>
      </c>
      <c r="J674" s="98">
        <f aca="true" t="array" ref="J674">MATCH(TRUE,ISBLANK(G674:G698),0)</f>
        <v>6</v>
      </c>
      <c r="K674" s="98">
        <f>J674-3</f>
        <v>3</v>
      </c>
      <c r="L674" s="98"/>
      <c r="M674" s="98"/>
      <c r="N674" s="98"/>
      <c r="O674" s="98"/>
      <c r="P674" s="98"/>
      <c r="Q674" s="98"/>
      <c r="R674" s="98"/>
    </row>
    <row r="675" spans="1:18" ht="15" customHeight="1">
      <c r="A675" s="260" t="s">
        <v>172</v>
      </c>
      <c r="B675" s="260" t="s">
        <v>104</v>
      </c>
      <c r="C675" s="260"/>
      <c r="D675" s="45" t="s">
        <v>90</v>
      </c>
      <c r="E675" s="120">
        <v>1.195</v>
      </c>
      <c r="F675" s="98"/>
      <c r="G675" s="92" t="str">
        <f>CONCATENATE(D675," - ",E675,", ")</f>
        <v>2/core PVC Alumn. Cable scrap - 1.195, </v>
      </c>
      <c r="H675" s="268"/>
      <c r="I675" s="98" t="str">
        <f ca="1">IF(J674&gt;=3,(MID(I674,2,1)&amp;MID(I674,4,3)-K674),CELL("address",Z675))</f>
        <v>G676</v>
      </c>
      <c r="J675" s="98" t="str">
        <f ca="1">IF(J674&gt;=4,(MID(I675,1,1)&amp;MID(I675,2,3)+1),CELL("address",AA675))</f>
        <v>G677</v>
      </c>
      <c r="K675" s="98" t="str">
        <f ca="1">IF(J674&gt;=5,(MID(J675,1,1)&amp;MID(J675,2,3)+1),CELL("address",AB675))</f>
        <v>G678</v>
      </c>
      <c r="L675" s="98" t="str">
        <f ca="1">IF(J674&gt;=6,(MID(K675,1,1)&amp;MID(K675,2,3)+1),CELL("address",AC675))</f>
        <v>G679</v>
      </c>
      <c r="M675" s="98" t="str">
        <f ca="1">IF(J674&gt;=7,(MID(L675,1,1)&amp;MID(L675,2,3)+1),CELL("address",AD675))</f>
        <v>$AD$675</v>
      </c>
      <c r="N675" s="98" t="str">
        <f ca="1">IF(J674&gt;=8,(MID(M675,1,1)&amp;MID(M675,2,3)+1),CELL("address",AE675))</f>
        <v>$AE$675</v>
      </c>
      <c r="O675" s="98" t="str">
        <f ca="1">IF(J674&gt;=9,(MID(N675,1,1)&amp;MID(N675,2,3)+1),CELL("address",AF675))</f>
        <v>$AF$675</v>
      </c>
      <c r="P675" s="98" t="str">
        <f ca="1">IF(J674&gt;=10,(MID(O675,1,1)&amp;MID(O675,2,3)+1),CELL("address",AG675))</f>
        <v>$AG$675</v>
      </c>
      <c r="Q675" s="98" t="str">
        <f ca="1">IF(J674&gt;=11,(MID(P675,1,1)&amp;MID(P675,2,3)+1),CELL("address",AH675))</f>
        <v>$AH$675</v>
      </c>
      <c r="R675" s="98" t="str">
        <f ca="1">IF(J674&gt;=12,(MID(Q675,1,1)&amp;MID(Q675,2,3)+1),CELL("address",AI675))</f>
        <v>$AI$675</v>
      </c>
    </row>
    <row r="676" spans="1:15" ht="15" customHeight="1">
      <c r="A676" s="260"/>
      <c r="B676" s="260"/>
      <c r="C676" s="260"/>
      <c r="D676" s="45" t="s">
        <v>91</v>
      </c>
      <c r="E676" s="120">
        <v>1.024</v>
      </c>
      <c r="F676" s="98"/>
      <c r="G676" s="92" t="str">
        <f>CONCATENATE(D676," - ",E676,", ")</f>
        <v>4/core PVC Alumn. Cable scrap - 1.024, </v>
      </c>
      <c r="H676" s="98"/>
      <c r="I676" s="98" t="e">
        <f ca="1">IF(G675&gt;=6,(MID(H676,1,1)&amp;MID(H676,2,3)+1),CELL("address",Z676))</f>
        <v>#VALUE!</v>
      </c>
      <c r="J676" s="98" t="e">
        <f ca="1">IF(G675&gt;=7,(MID(I676,1,1)&amp;MID(I676,2,3)+1),CELL("address",AA676))</f>
        <v>#VALUE!</v>
      </c>
      <c r="K676" s="98" t="e">
        <f ca="1">IF(G675&gt;=8,(MID(J676,1,1)&amp;MID(J676,2,3)+1),CELL("address",AB676))</f>
        <v>#VALUE!</v>
      </c>
      <c r="L676" s="98" t="e">
        <f ca="1">IF(G675&gt;=9,(MID(K676,1,1)&amp;MID(K676,2,3)+1),CELL("address",AC676))</f>
        <v>#VALUE!</v>
      </c>
      <c r="M676" s="98" t="e">
        <f ca="1">IF(G675&gt;=10,(MID(L676,1,1)&amp;MID(L676,2,3)+1),CELL("address",AD676))</f>
        <v>#VALUE!</v>
      </c>
      <c r="N676" s="98" t="e">
        <f ca="1">IF(G675&gt;=11,(MID(M676,1,1)&amp;MID(M676,2,3)+1),CELL("address",AE676))</f>
        <v>#VALUE!</v>
      </c>
      <c r="O676" s="98" t="e">
        <f ca="1">IF(G675&gt;=12,(MID(N676,1,1)&amp;MID(N676,2,3)+1),CELL("address",AF676))</f>
        <v>#VALUE!</v>
      </c>
    </row>
    <row r="677" spans="1:8" ht="15" customHeight="1">
      <c r="A677" s="260"/>
      <c r="B677" s="260"/>
      <c r="C677" s="260"/>
      <c r="D677" s="45" t="s">
        <v>92</v>
      </c>
      <c r="E677" s="120">
        <v>1.147</v>
      </c>
      <c r="G677" s="92" t="str">
        <f>CONCATENATE(D677," - ",E677,", ")</f>
        <v>3/ core XLPE Alu cable scrap - 1.147, </v>
      </c>
      <c r="H677" s="1"/>
    </row>
    <row r="678" spans="1:8" ht="15" customHeight="1">
      <c r="A678" s="260"/>
      <c r="B678" s="260"/>
      <c r="C678" s="260"/>
      <c r="D678" s="45" t="s">
        <v>168</v>
      </c>
      <c r="E678" s="120">
        <v>0.04</v>
      </c>
      <c r="G678" s="92" t="str">
        <f>CONCATENATE(D678," - ",E678,", ")</f>
        <v>ABC cable scrap (70/95 mm) - 0.04, </v>
      </c>
      <c r="H678" s="1"/>
    </row>
    <row r="679" spans="1:8" ht="15" customHeight="1">
      <c r="A679" s="39"/>
      <c r="B679" s="41"/>
      <c r="C679" s="42"/>
      <c r="D679" s="34"/>
      <c r="E679" s="163"/>
      <c r="H679" s="1"/>
    </row>
    <row r="680" spans="1:8" ht="15" customHeight="1">
      <c r="A680" s="39"/>
      <c r="B680" s="230"/>
      <c r="C680" s="231"/>
      <c r="D680" s="232"/>
      <c r="E680" s="176">
        <f>SUM(E682:E686)</f>
        <v>13.764</v>
      </c>
      <c r="H680" s="1"/>
    </row>
    <row r="681" spans="1:18" ht="15" customHeight="1">
      <c r="A681" s="40" t="s">
        <v>5</v>
      </c>
      <c r="B681" s="262" t="s">
        <v>17</v>
      </c>
      <c r="C681" s="263"/>
      <c r="D681" s="222" t="s">
        <v>18</v>
      </c>
      <c r="E681" s="39" t="s">
        <v>7</v>
      </c>
      <c r="G681" s="93" t="str">
        <f>CONCATENATE("Cable Scrap, Lying at ",B682,". Quantity in MT - ")</f>
        <v>Cable Scrap, Lying at CS Patiala. Quantity in MT - </v>
      </c>
      <c r="H681" s="268" t="str">
        <f ca="1">CONCATENATE(G681,G682,(INDIRECT(I682)),(INDIRECT(J682)),(INDIRECT(K682)),(INDIRECT(L682)),(INDIRECT(M682)),(INDIRECT(N682)),(INDIRECT(O682)),(INDIRECT(P682)),(INDIRECT(Q682)),(INDIRECT(R682)))</f>
        <v>Cable Scrap, Lying at CS Patiala. Quantity in MT - 1/core PVC Alumn. Cable scrap - 0.343, 2/core PVC Alumn. Cable scrap - 1.725, 4/core PVC Alumn. Cable scrap - 3.273, 3/ core XLPE Alu cable scrap - 3.2, ABC cable scrap (150 mm) - 5.223, </v>
      </c>
      <c r="I681" s="98" t="str">
        <f aca="true" ca="1" t="array" ref="I681">CELL("address",INDEX(G681:G705,MATCH(TRUE,ISBLANK(G681:G705),0)))</f>
        <v>$G$687</v>
      </c>
      <c r="J681" s="98">
        <f aca="true" t="array" ref="J681">MATCH(TRUE,ISBLANK(G681:G705),0)</f>
        <v>7</v>
      </c>
      <c r="K681" s="98">
        <f>J681-3</f>
        <v>4</v>
      </c>
      <c r="L681" s="98"/>
      <c r="M681" s="98"/>
      <c r="N681" s="98"/>
      <c r="O681" s="98"/>
      <c r="P681" s="98"/>
      <c r="Q681" s="98"/>
      <c r="R681" s="98"/>
    </row>
    <row r="682" spans="1:18" ht="15" customHeight="1">
      <c r="A682" s="260" t="s">
        <v>173</v>
      </c>
      <c r="B682" s="260" t="s">
        <v>52</v>
      </c>
      <c r="C682" s="260"/>
      <c r="D682" s="45" t="s">
        <v>171</v>
      </c>
      <c r="E682" s="39">
        <v>0.343</v>
      </c>
      <c r="G682" s="92" t="str">
        <f>CONCATENATE(D682," - ",E682,", ")</f>
        <v>1/core PVC Alumn. Cable scrap - 0.343, </v>
      </c>
      <c r="H682" s="268"/>
      <c r="I682" s="98" t="str">
        <f ca="1">IF(J681&gt;=3,(MID(I681,2,1)&amp;MID(I681,4,3)-K681),CELL("address",Z682))</f>
        <v>G683</v>
      </c>
      <c r="J682" s="98" t="str">
        <f ca="1">IF(J681&gt;=4,(MID(I682,1,1)&amp;MID(I682,2,3)+1),CELL("address",AA682))</f>
        <v>G684</v>
      </c>
      <c r="K682" s="98" t="str">
        <f ca="1">IF(J681&gt;=5,(MID(J682,1,1)&amp;MID(J682,2,3)+1),CELL("address",AB682))</f>
        <v>G685</v>
      </c>
      <c r="L682" s="98" t="str">
        <f ca="1">IF(J681&gt;=6,(MID(K682,1,1)&amp;MID(K682,2,3)+1),CELL("address",AC682))</f>
        <v>G686</v>
      </c>
      <c r="M682" s="98" t="str">
        <f ca="1">IF(J681&gt;=7,(MID(L682,1,1)&amp;MID(L682,2,3)+1),CELL("address",AD682))</f>
        <v>G687</v>
      </c>
      <c r="N682" s="98" t="str">
        <f ca="1">IF(J681&gt;=8,(MID(M682,1,1)&amp;MID(M682,2,3)+1),CELL("address",AE682))</f>
        <v>$AE$682</v>
      </c>
      <c r="O682" s="98" t="str">
        <f ca="1">IF(J681&gt;=9,(MID(N682,1,1)&amp;MID(N682,2,3)+1),CELL("address",AF682))</f>
        <v>$AF$682</v>
      </c>
      <c r="P682" s="98" t="str">
        <f ca="1">IF(J681&gt;=10,(MID(O682,1,1)&amp;MID(O682,2,3)+1),CELL("address",AG682))</f>
        <v>$AG$682</v>
      </c>
      <c r="Q682" s="98" t="str">
        <f ca="1">IF(J681&gt;=11,(MID(P682,1,1)&amp;MID(P682,2,3)+1),CELL("address",AH682))</f>
        <v>$AH$682</v>
      </c>
      <c r="R682" s="98" t="str">
        <f ca="1">IF(J681&gt;=12,(MID(Q682,1,1)&amp;MID(Q682,2,3)+1),CELL("address",AI682))</f>
        <v>$AI$682</v>
      </c>
    </row>
    <row r="683" spans="1:15" ht="15" customHeight="1">
      <c r="A683" s="260"/>
      <c r="B683" s="260"/>
      <c r="C683" s="260"/>
      <c r="D683" s="45" t="s">
        <v>90</v>
      </c>
      <c r="E683" s="69">
        <v>1.725</v>
      </c>
      <c r="F683" s="98"/>
      <c r="G683" s="92" t="str">
        <f>CONCATENATE(D683," - ",E683,", ")</f>
        <v>2/core PVC Alumn. Cable scrap - 1.725, </v>
      </c>
      <c r="H683" s="98"/>
      <c r="I683" s="98"/>
      <c r="J683" s="98"/>
      <c r="K683" s="98"/>
      <c r="L683" s="98"/>
      <c r="M683" s="98"/>
      <c r="N683" s="98"/>
      <c r="O683" s="98"/>
    </row>
    <row r="684" spans="1:15" ht="15" customHeight="1">
      <c r="A684" s="260"/>
      <c r="B684" s="260"/>
      <c r="C684" s="260"/>
      <c r="D684" s="45" t="s">
        <v>91</v>
      </c>
      <c r="E684" s="69">
        <v>3.273</v>
      </c>
      <c r="F684" s="98"/>
      <c r="G684" s="92" t="str">
        <f>CONCATENATE(D684," - ",E684,", ")</f>
        <v>4/core PVC Alumn. Cable scrap - 3.273, </v>
      </c>
      <c r="H684" s="98"/>
      <c r="I684" s="98" t="e">
        <f ca="1">IF(G683&gt;=6,(MID(H684,1,1)&amp;MID(H684,2,3)+1),CELL("address",Z684))</f>
        <v>#VALUE!</v>
      </c>
      <c r="J684" s="98" t="e">
        <f ca="1">IF(G683&gt;=7,(MID(I684,1,1)&amp;MID(I684,2,3)+1),CELL("address",AA684))</f>
        <v>#VALUE!</v>
      </c>
      <c r="K684" s="98" t="e">
        <f ca="1">IF(G683&gt;=8,(MID(J684,1,1)&amp;MID(J684,2,3)+1),CELL("address",AB684))</f>
        <v>#VALUE!</v>
      </c>
      <c r="L684" s="98" t="e">
        <f ca="1">IF(G683&gt;=9,(MID(K684,1,1)&amp;MID(K684,2,3)+1),CELL("address",AC684))</f>
        <v>#VALUE!</v>
      </c>
      <c r="M684" s="98" t="e">
        <f ca="1">IF(G683&gt;=10,(MID(L684,1,1)&amp;MID(L684,2,3)+1),CELL("address",AD684))</f>
        <v>#VALUE!</v>
      </c>
      <c r="N684" s="98" t="e">
        <f ca="1">IF(G683&gt;=11,(MID(M684,1,1)&amp;MID(M684,2,3)+1),CELL("address",AE684))</f>
        <v>#VALUE!</v>
      </c>
      <c r="O684" s="98" t="e">
        <f ca="1">IF(G683&gt;=12,(MID(N684,1,1)&amp;MID(N684,2,3)+1),CELL("address",AF684))</f>
        <v>#VALUE!</v>
      </c>
    </row>
    <row r="685" spans="1:8" ht="15" customHeight="1">
      <c r="A685" s="260"/>
      <c r="B685" s="260"/>
      <c r="C685" s="260"/>
      <c r="D685" s="45" t="s">
        <v>92</v>
      </c>
      <c r="E685" s="180">
        <v>3.2</v>
      </c>
      <c r="G685" s="92" t="str">
        <f>CONCATENATE(D685," - ",E685,", ")</f>
        <v>3/ core XLPE Alu cable scrap - 3.2, </v>
      </c>
      <c r="H685" s="1"/>
    </row>
    <row r="686" spans="1:8" ht="15" customHeight="1">
      <c r="A686" s="260"/>
      <c r="B686" s="260"/>
      <c r="C686" s="260"/>
      <c r="D686" s="45" t="s">
        <v>246</v>
      </c>
      <c r="E686" s="180">
        <v>5.223</v>
      </c>
      <c r="G686" s="92" t="str">
        <f>CONCATENATE(D686," - ",E686,", ")</f>
        <v>ABC cable scrap (150 mm) - 5.223, </v>
      </c>
      <c r="H686" s="1"/>
    </row>
    <row r="687" spans="1:8" ht="15" customHeight="1">
      <c r="A687" s="39"/>
      <c r="B687" s="41"/>
      <c r="C687" s="42"/>
      <c r="D687" s="34"/>
      <c r="E687" s="163"/>
      <c r="H687" s="1"/>
    </row>
    <row r="688" spans="1:8" ht="15" customHeight="1">
      <c r="A688" s="35"/>
      <c r="E688" s="136">
        <f>SUM(E690:E693)</f>
        <v>1.999</v>
      </c>
      <c r="H688" s="1"/>
    </row>
    <row r="689" spans="1:18" ht="15" customHeight="1">
      <c r="A689" s="40" t="s">
        <v>5</v>
      </c>
      <c r="B689" s="262" t="s">
        <v>17</v>
      </c>
      <c r="C689" s="263"/>
      <c r="D689" s="222" t="s">
        <v>18</v>
      </c>
      <c r="E689" s="39" t="s">
        <v>7</v>
      </c>
      <c r="G689" s="93" t="str">
        <f>CONCATENATE("Cable Scrap, Lying at ",B690,". Quantity in MT - ")</f>
        <v>Cable Scrap, Lying at OL Rajpura. Quantity in MT - </v>
      </c>
      <c r="H689" s="268" t="str">
        <f ca="1">CONCATENATE(G689,G690,(INDIRECT(I690)),(INDIRECT(J690)),(INDIRECT(K690)),(INDIRECT(L690)),(INDIRECT(M690)),(INDIRECT(N690)),(INDIRECT(O690)),(INDIRECT(P690)),(INDIRECT(Q690)),(INDIRECT(R690)))</f>
        <v>Cable Scrap, Lying at OL Rajpura. Quantity in MT - 2/core PVC Alumn. Cable scrap - 0.413, 4/core PVC Alumn. Cable scrap - 0.518, 3/ core XLPE Alu cable scrap - 0.509, ABC cable scrap (70/95 mm) - 0.559, </v>
      </c>
      <c r="I689" s="98" t="str">
        <f aca="true" ca="1" t="array" ref="I689">CELL("address",INDEX(G689:G713,MATCH(TRUE,ISBLANK(G689:G713),0)))</f>
        <v>$G$694</v>
      </c>
      <c r="J689" s="98">
        <f aca="true" t="array" ref="J689">MATCH(TRUE,ISBLANK(G689:G713),0)</f>
        <v>6</v>
      </c>
      <c r="K689" s="98">
        <f>J689-3</f>
        <v>3</v>
      </c>
      <c r="L689" s="98"/>
      <c r="M689" s="98"/>
      <c r="N689" s="98"/>
      <c r="O689" s="98"/>
      <c r="P689" s="98"/>
      <c r="Q689" s="98"/>
      <c r="R689" s="98"/>
    </row>
    <row r="690" spans="1:18" ht="15" customHeight="1">
      <c r="A690" s="260" t="s">
        <v>174</v>
      </c>
      <c r="B690" s="260" t="s">
        <v>103</v>
      </c>
      <c r="C690" s="260"/>
      <c r="D690" s="45" t="s">
        <v>90</v>
      </c>
      <c r="E690" s="39">
        <v>0.413</v>
      </c>
      <c r="F690" s="98"/>
      <c r="G690" s="92" t="str">
        <f>CONCATENATE(D690," - ",E690,", ")</f>
        <v>2/core PVC Alumn. Cable scrap - 0.413, </v>
      </c>
      <c r="H690" s="268"/>
      <c r="I690" s="98" t="str">
        <f ca="1">IF(J689&gt;=3,(MID(I689,2,1)&amp;MID(I689,4,3)-K689),CELL("address",Z690))</f>
        <v>G691</v>
      </c>
      <c r="J690" s="98" t="str">
        <f ca="1">IF(J689&gt;=4,(MID(I690,1,1)&amp;MID(I690,2,3)+1),CELL("address",AA690))</f>
        <v>G692</v>
      </c>
      <c r="K690" s="98" t="str">
        <f ca="1">IF(J689&gt;=5,(MID(J690,1,1)&amp;MID(J690,2,3)+1),CELL("address",AB690))</f>
        <v>G693</v>
      </c>
      <c r="L690" s="98" t="str">
        <f ca="1">IF(J689&gt;=6,(MID(K690,1,1)&amp;MID(K690,2,3)+1),CELL("address",AC690))</f>
        <v>G694</v>
      </c>
      <c r="M690" s="98" t="str">
        <f ca="1">IF(J689&gt;=7,(MID(L690,1,1)&amp;MID(L690,2,3)+1),CELL("address",AD690))</f>
        <v>$AD$690</v>
      </c>
      <c r="N690" s="98" t="str">
        <f ca="1">IF(J689&gt;=8,(MID(M690,1,1)&amp;MID(M690,2,3)+1),CELL("address",AE690))</f>
        <v>$AE$690</v>
      </c>
      <c r="O690" s="98" t="str">
        <f ca="1">IF(J689&gt;=9,(MID(N690,1,1)&amp;MID(N690,2,3)+1),CELL("address",AF690))</f>
        <v>$AF$690</v>
      </c>
      <c r="P690" s="98" t="str">
        <f ca="1">IF(J689&gt;=10,(MID(O690,1,1)&amp;MID(O690,2,3)+1),CELL("address",AG690))</f>
        <v>$AG$690</v>
      </c>
      <c r="Q690" s="98" t="str">
        <f ca="1">IF(J689&gt;=11,(MID(P690,1,1)&amp;MID(P690,2,3)+1),CELL("address",AH690))</f>
        <v>$AH$690</v>
      </c>
      <c r="R690" s="98" t="str">
        <f ca="1">IF(J689&gt;=12,(MID(Q690,1,1)&amp;MID(Q690,2,3)+1),CELL("address",AI690))</f>
        <v>$AI$690</v>
      </c>
    </row>
    <row r="691" spans="1:15" ht="15" customHeight="1">
      <c r="A691" s="260"/>
      <c r="B691" s="260"/>
      <c r="C691" s="260"/>
      <c r="D691" s="45" t="s">
        <v>91</v>
      </c>
      <c r="E691" s="69">
        <v>0.518</v>
      </c>
      <c r="F691" s="98"/>
      <c r="G691" s="92" t="str">
        <f>CONCATENATE(D691," - ",E691,", ")</f>
        <v>4/core PVC Alumn. Cable scrap - 0.518, </v>
      </c>
      <c r="H691" s="98"/>
      <c r="I691" s="98" t="e">
        <f ca="1">IF(G690&gt;=6,(MID(H691,1,1)&amp;MID(H691,2,3)+1),CELL("address",Z691))</f>
        <v>#VALUE!</v>
      </c>
      <c r="J691" s="98" t="e">
        <f ca="1">IF(G690&gt;=7,(MID(I691,1,1)&amp;MID(I691,2,3)+1),CELL("address",AA691))</f>
        <v>#VALUE!</v>
      </c>
      <c r="K691" s="98" t="e">
        <f ca="1">IF(G690&gt;=8,(MID(J691,1,1)&amp;MID(J691,2,3)+1),CELL("address",AB691))</f>
        <v>#VALUE!</v>
      </c>
      <c r="L691" s="98" t="e">
        <f ca="1">IF(G690&gt;=9,(MID(K691,1,1)&amp;MID(K691,2,3)+1),CELL("address",AC691))</f>
        <v>#VALUE!</v>
      </c>
      <c r="M691" s="98" t="e">
        <f ca="1">IF(G690&gt;=10,(MID(L691,1,1)&amp;MID(L691,2,3)+1),CELL("address",AD691))</f>
        <v>#VALUE!</v>
      </c>
      <c r="N691" s="98" t="e">
        <f ca="1">IF(G690&gt;=11,(MID(M691,1,1)&amp;MID(M691,2,3)+1),CELL("address",AE691))</f>
        <v>#VALUE!</v>
      </c>
      <c r="O691" s="98" t="e">
        <f ca="1">IF(G690&gt;=12,(MID(N691,1,1)&amp;MID(N691,2,3)+1),CELL("address",AF691))</f>
        <v>#VALUE!</v>
      </c>
    </row>
    <row r="692" spans="1:8" ht="15" customHeight="1">
      <c r="A692" s="260"/>
      <c r="B692" s="260"/>
      <c r="C692" s="260"/>
      <c r="D692" s="45" t="s">
        <v>92</v>
      </c>
      <c r="E692" s="69">
        <v>0.509</v>
      </c>
      <c r="G692" s="92" t="str">
        <f>CONCATENATE(D692," - ",E692,", ")</f>
        <v>3/ core XLPE Alu cable scrap - 0.509, </v>
      </c>
      <c r="H692" s="1"/>
    </row>
    <row r="693" spans="1:8" ht="15" customHeight="1">
      <c r="A693" s="260"/>
      <c r="B693" s="260"/>
      <c r="C693" s="260"/>
      <c r="D693" s="45" t="s">
        <v>168</v>
      </c>
      <c r="E693" s="120">
        <v>0.559</v>
      </c>
      <c r="G693" s="92" t="str">
        <f>CONCATENATE(D693," - ",E693,", ")</f>
        <v>ABC cable scrap (70/95 mm) - 0.559, </v>
      </c>
      <c r="H693" s="1"/>
    </row>
    <row r="694" spans="1:8" ht="15" customHeight="1">
      <c r="A694" s="39"/>
      <c r="B694" s="41"/>
      <c r="C694" s="42"/>
      <c r="D694" s="45"/>
      <c r="E694" s="120"/>
      <c r="H694" s="1"/>
    </row>
    <row r="695" spans="1:8" ht="15" customHeight="1">
      <c r="A695" s="39"/>
      <c r="B695" s="230"/>
      <c r="C695" s="231"/>
      <c r="D695" s="232"/>
      <c r="E695" s="176">
        <f>SUM(E697:E700)</f>
        <v>4.653</v>
      </c>
      <c r="H695" s="1"/>
    </row>
    <row r="696" spans="1:18" ht="15" customHeight="1">
      <c r="A696" s="40" t="s">
        <v>5</v>
      </c>
      <c r="B696" s="262" t="s">
        <v>17</v>
      </c>
      <c r="C696" s="263"/>
      <c r="D696" s="222" t="s">
        <v>18</v>
      </c>
      <c r="E696" s="39" t="s">
        <v>7</v>
      </c>
      <c r="G696" s="93" t="str">
        <f>CONCATENATE("Cable Scrap, Lying at ",B697,". Quantity in MT - ")</f>
        <v>Cable Scrap, Lying at OL Barnala. Quantity in MT - </v>
      </c>
      <c r="H696" s="268" t="str">
        <f ca="1">CONCATENATE(G696,G697,(INDIRECT(I697)),(INDIRECT(J697)),(INDIRECT(K697)),(INDIRECT(L697)),(INDIRECT(M697)),(INDIRECT(N697)),(INDIRECT(O697)),(INDIRECT(P697)),(INDIRECT(Q697)),(INDIRECT(R697)))</f>
        <v>Cable Scrap, Lying at OL Barnala. Quantity in MT - 2/core PVC Alumn. Cable scrap - 0.53, 4/core PVC Alumn. Cable scrap - 0.989, 3/ core XLPE Alu cable scrap - 3.116, 1/ core XLPE Alu cable scrap - 0.018, </v>
      </c>
      <c r="I696" s="98" t="str">
        <f aca="true" ca="1" t="array" ref="I696">CELL("address",INDEX(G696:G720,MATCH(TRUE,ISBLANK(G696:G720),0)))</f>
        <v>$G$701</v>
      </c>
      <c r="J696" s="98">
        <f aca="true" t="array" ref="J696">MATCH(TRUE,ISBLANK(G696:G720),0)</f>
        <v>6</v>
      </c>
      <c r="K696" s="98">
        <f>J696-3</f>
        <v>3</v>
      </c>
      <c r="L696" s="98"/>
      <c r="M696" s="98"/>
      <c r="N696" s="98"/>
      <c r="O696" s="98"/>
      <c r="P696" s="98"/>
      <c r="Q696" s="98"/>
      <c r="R696" s="98"/>
    </row>
    <row r="697" spans="1:18" ht="15" customHeight="1">
      <c r="A697" s="260" t="s">
        <v>243</v>
      </c>
      <c r="B697" s="260" t="s">
        <v>190</v>
      </c>
      <c r="C697" s="260"/>
      <c r="D697" s="45" t="s">
        <v>90</v>
      </c>
      <c r="E697" s="69">
        <v>0.53</v>
      </c>
      <c r="F697" s="98"/>
      <c r="G697" s="92" t="str">
        <f>CONCATENATE(D697," - ",E697,", ")</f>
        <v>2/core PVC Alumn. Cable scrap - 0.53, </v>
      </c>
      <c r="H697" s="268"/>
      <c r="I697" s="98" t="str">
        <f ca="1">IF(J696&gt;=3,(MID(I696,2,1)&amp;MID(I696,4,3)-K696),CELL("address",Z697))</f>
        <v>G698</v>
      </c>
      <c r="J697" s="98" t="str">
        <f ca="1">IF(J696&gt;=4,(MID(I697,1,1)&amp;MID(I697,2,3)+1),CELL("address",AA697))</f>
        <v>G699</v>
      </c>
      <c r="K697" s="98" t="str">
        <f ca="1">IF(J696&gt;=5,(MID(J697,1,1)&amp;MID(J697,2,3)+1),CELL("address",AB697))</f>
        <v>G700</v>
      </c>
      <c r="L697" s="98" t="str">
        <f ca="1">IF(J696&gt;=6,(MID(K697,1,1)&amp;MID(K697,2,3)+1),CELL("address",AC697))</f>
        <v>G701</v>
      </c>
      <c r="M697" s="98" t="str">
        <f ca="1">IF(J696&gt;=7,(MID(L697,1,1)&amp;MID(L697,2,3)+1),CELL("address",AD697))</f>
        <v>$AD$697</v>
      </c>
      <c r="N697" s="98" t="str">
        <f ca="1">IF(J696&gt;=8,(MID(M697,1,1)&amp;MID(M697,2,3)+1),CELL("address",AE697))</f>
        <v>$AE$697</v>
      </c>
      <c r="O697" s="98" t="str">
        <f ca="1">IF(J696&gt;=9,(MID(N697,1,1)&amp;MID(N697,2,3)+1),CELL("address",AF697))</f>
        <v>$AF$697</v>
      </c>
      <c r="P697" s="98" t="str">
        <f ca="1">IF(J696&gt;=10,(MID(O697,1,1)&amp;MID(O697,2,3)+1),CELL("address",AG697))</f>
        <v>$AG$697</v>
      </c>
      <c r="Q697" s="98" t="str">
        <f ca="1">IF(J696&gt;=11,(MID(P697,1,1)&amp;MID(P697,2,3)+1),CELL("address",AH697))</f>
        <v>$AH$697</v>
      </c>
      <c r="R697" s="98" t="str">
        <f ca="1">IF(J696&gt;=12,(MID(Q697,1,1)&amp;MID(Q697,2,3)+1),CELL("address",AI697))</f>
        <v>$AI$697</v>
      </c>
    </row>
    <row r="698" spans="1:15" ht="15" customHeight="1">
      <c r="A698" s="260"/>
      <c r="B698" s="260"/>
      <c r="C698" s="260"/>
      <c r="D698" s="45" t="s">
        <v>91</v>
      </c>
      <c r="E698" s="69">
        <v>0.989</v>
      </c>
      <c r="F698" s="98"/>
      <c r="G698" s="92" t="str">
        <f>CONCATENATE(D698," - ",E698,", ")</f>
        <v>4/core PVC Alumn. Cable scrap - 0.989, </v>
      </c>
      <c r="H698" s="98"/>
      <c r="I698" s="98" t="e">
        <f ca="1">IF(G697&gt;=6,(MID(H698,1,1)&amp;MID(H698,2,3)+1),CELL("address",Z698))</f>
        <v>#VALUE!</v>
      </c>
      <c r="J698" s="98" t="e">
        <f ca="1">IF(G697&gt;=7,(MID(I698,1,1)&amp;MID(I698,2,3)+1),CELL("address",AA698))</f>
        <v>#VALUE!</v>
      </c>
      <c r="K698" s="98" t="e">
        <f ca="1">IF(G697&gt;=8,(MID(J698,1,1)&amp;MID(J698,2,3)+1),CELL("address",AB698))</f>
        <v>#VALUE!</v>
      </c>
      <c r="L698" s="98" t="e">
        <f ca="1">IF(G697&gt;=9,(MID(K698,1,1)&amp;MID(K698,2,3)+1),CELL("address",AC698))</f>
        <v>#VALUE!</v>
      </c>
      <c r="M698" s="98" t="e">
        <f ca="1">IF(G697&gt;=10,(MID(L698,1,1)&amp;MID(L698,2,3)+1),CELL("address",AD698))</f>
        <v>#VALUE!</v>
      </c>
      <c r="N698" s="98" t="e">
        <f ca="1">IF(G697&gt;=11,(MID(M698,1,1)&amp;MID(M698,2,3)+1),CELL("address",AE698))</f>
        <v>#VALUE!</v>
      </c>
      <c r="O698" s="98" t="e">
        <f ca="1">IF(G697&gt;=12,(MID(N698,1,1)&amp;MID(N698,2,3)+1),CELL("address",AF698))</f>
        <v>#VALUE!</v>
      </c>
    </row>
    <row r="699" spans="1:8" ht="15" customHeight="1">
      <c r="A699" s="260"/>
      <c r="B699" s="260"/>
      <c r="C699" s="260"/>
      <c r="D699" s="45" t="s">
        <v>92</v>
      </c>
      <c r="E699" s="120">
        <v>3.116</v>
      </c>
      <c r="G699" s="92" t="str">
        <f>CONCATENATE(D699," - ",E699,", ")</f>
        <v>3/ core XLPE Alu cable scrap - 3.116, </v>
      </c>
      <c r="H699" s="1"/>
    </row>
    <row r="700" spans="1:8" ht="15" customHeight="1">
      <c r="A700" s="260"/>
      <c r="B700" s="260"/>
      <c r="C700" s="260"/>
      <c r="D700" s="45" t="s">
        <v>97</v>
      </c>
      <c r="E700" s="120">
        <v>0.018</v>
      </c>
      <c r="G700" s="92" t="str">
        <f>CONCATENATE(D700," - ",E700,", ")</f>
        <v>1/ core XLPE Alu cable scrap - 0.018, </v>
      </c>
      <c r="H700" s="1"/>
    </row>
    <row r="701" spans="1:8" ht="15" customHeight="1">
      <c r="A701" s="39"/>
      <c r="B701" s="115"/>
      <c r="C701" s="59"/>
      <c r="D701" s="116"/>
      <c r="E701" s="181"/>
      <c r="H701" s="1"/>
    </row>
    <row r="702" spans="1:8" ht="15" customHeight="1">
      <c r="A702" s="39"/>
      <c r="B702" s="230"/>
      <c r="C702" s="231"/>
      <c r="D702" s="232"/>
      <c r="E702" s="176">
        <f>SUM(E704:E709)</f>
        <v>4.720000000000001</v>
      </c>
      <c r="H702" s="1"/>
    </row>
    <row r="703" spans="1:27" ht="15" customHeight="1">
      <c r="A703" s="70" t="s">
        <v>5</v>
      </c>
      <c r="B703" s="275" t="s">
        <v>17</v>
      </c>
      <c r="C703" s="276"/>
      <c r="D703" s="222" t="s">
        <v>18</v>
      </c>
      <c r="E703" s="39" t="s">
        <v>7</v>
      </c>
      <c r="G703" s="93" t="str">
        <f>CONCATENATE("Cable Scrap, Lying at ",B704,". Quantity in MT - ")</f>
        <v>Cable Scrap, Lying at CS Sangrur. Quantity in MT - </v>
      </c>
      <c r="H703" s="268" t="str">
        <f ca="1">CONCATENATE(G703,G704,(INDIRECT(I704)),(INDIRECT(J704)),(INDIRECT(K704)),(INDIRECT(L704)),(INDIRECT(M704)),(INDIRECT(N704)),(INDIRECT(O704)),(INDIRECT(P704)),(INDIRECT(Q704)),(INDIRECT(R704)))</f>
        <v>Cable Scrap, Lying at CS Sangrur. Quantity in MT - 2/core PVC Alumn. Cable scrap - 0.298, 4/core PVC Alumn. Cable scrap - 0.539, 3/ core XLPE Alu cable scrap - 2.437, Lead seal scrap with lash wire - 0.036, ABC cable scrap (70/95 mm) - 1.345, 1/ core XLPE Alu cable scrap - 0.065, </v>
      </c>
      <c r="I703" s="98" t="str">
        <f aca="true" ca="1" t="array" ref="I703">CELL("address",INDEX(G703:G727,MATCH(TRUE,ISBLANK(G703:G727),0)))</f>
        <v>$G$710</v>
      </c>
      <c r="J703" s="98">
        <f aca="true" t="array" ref="J703">MATCH(TRUE,ISBLANK(G703:G727),0)</f>
        <v>8</v>
      </c>
      <c r="K703" s="98">
        <f>J703-3</f>
        <v>5</v>
      </c>
      <c r="L703" s="98"/>
      <c r="M703" s="98"/>
      <c r="N703" s="98"/>
      <c r="O703" s="98"/>
      <c r="P703" s="98"/>
      <c r="Q703" s="98"/>
      <c r="R703" s="98"/>
      <c r="T703" s="175"/>
      <c r="U703" s="175"/>
      <c r="V703" s="175"/>
      <c r="W703" s="175"/>
      <c r="X703" s="175"/>
      <c r="Y703" s="175"/>
      <c r="Z703" s="175"/>
      <c r="AA703" s="102"/>
    </row>
    <row r="704" spans="1:18" ht="15" customHeight="1">
      <c r="A704" s="260" t="s">
        <v>211</v>
      </c>
      <c r="B704" s="260" t="s">
        <v>79</v>
      </c>
      <c r="C704" s="260"/>
      <c r="D704" s="81" t="s">
        <v>90</v>
      </c>
      <c r="E704" s="69">
        <v>0.298</v>
      </c>
      <c r="G704" s="92" t="str">
        <f aca="true" t="shared" si="2" ref="G704:G709">CONCATENATE(D704," - ",E704,", ")</f>
        <v>2/core PVC Alumn. Cable scrap - 0.298, </v>
      </c>
      <c r="H704" s="268"/>
      <c r="I704" s="98" t="str">
        <f ca="1">IF(J703&gt;=3,(MID(I703,2,1)&amp;MID(I703,4,3)-K703),CELL("address",Z704))</f>
        <v>G705</v>
      </c>
      <c r="J704" s="98" t="str">
        <f ca="1">IF(J703&gt;=4,(MID(I704,1,1)&amp;MID(I704,2,3)+1),CELL("address",AA704))</f>
        <v>G706</v>
      </c>
      <c r="K704" s="98" t="str">
        <f ca="1">IF(J703&gt;=5,(MID(J704,1,1)&amp;MID(J704,2,3)+1),CELL("address",AB704))</f>
        <v>G707</v>
      </c>
      <c r="L704" s="98" t="str">
        <f ca="1">IF(J703&gt;=6,(MID(K704,1,1)&amp;MID(K704,2,3)+1),CELL("address",AC704))</f>
        <v>G708</v>
      </c>
      <c r="M704" s="98" t="str">
        <f ca="1">IF(J703&gt;=7,(MID(L704,1,1)&amp;MID(L704,2,3)+1),CELL("address",AD704))</f>
        <v>G709</v>
      </c>
      <c r="N704" s="98" t="str">
        <f ca="1">IF(J703&gt;=8,(MID(M704,1,1)&amp;MID(M704,2,3)+1),CELL("address",AE704))</f>
        <v>G710</v>
      </c>
      <c r="O704" s="98" t="str">
        <f ca="1">IF(J703&gt;=9,(MID(N704,1,1)&amp;MID(N704,2,3)+1),CELL("address",AF704))</f>
        <v>$AF$704</v>
      </c>
      <c r="P704" s="98" t="str">
        <f ca="1">IF(J703&gt;=10,(MID(O704,1,1)&amp;MID(O704,2,3)+1),CELL("address",AG704))</f>
        <v>$AG$704</v>
      </c>
      <c r="Q704" s="98" t="str">
        <f ca="1">IF(J703&gt;=11,(MID(P704,1,1)&amp;MID(P704,2,3)+1),CELL("address",AH704))</f>
        <v>$AH$704</v>
      </c>
      <c r="R704" s="98" t="str">
        <f ca="1">IF(J703&gt;=12,(MID(Q704,1,1)&amp;MID(Q704,2,3)+1),CELL("address",AI704))</f>
        <v>$AI$704</v>
      </c>
    </row>
    <row r="705" spans="1:8" ht="15" customHeight="1">
      <c r="A705" s="260"/>
      <c r="B705" s="260"/>
      <c r="C705" s="260"/>
      <c r="D705" s="81" t="s">
        <v>91</v>
      </c>
      <c r="E705" s="69">
        <v>0.539</v>
      </c>
      <c r="G705" s="92" t="str">
        <f t="shared" si="2"/>
        <v>4/core PVC Alumn. Cable scrap - 0.539, </v>
      </c>
      <c r="H705" s="1"/>
    </row>
    <row r="706" spans="1:15" ht="15" customHeight="1">
      <c r="A706" s="260"/>
      <c r="B706" s="260"/>
      <c r="C706" s="260"/>
      <c r="D706" s="81" t="s">
        <v>92</v>
      </c>
      <c r="E706" s="69">
        <v>2.437</v>
      </c>
      <c r="F706" s="98"/>
      <c r="G706" s="92" t="str">
        <f t="shared" si="2"/>
        <v>3/ core XLPE Alu cable scrap - 2.437, </v>
      </c>
      <c r="H706" s="98"/>
      <c r="I706" s="98"/>
      <c r="J706" s="98"/>
      <c r="K706" s="98"/>
      <c r="L706" s="98"/>
      <c r="M706" s="98"/>
      <c r="N706" s="98"/>
      <c r="O706" s="98"/>
    </row>
    <row r="707" spans="1:15" ht="15" customHeight="1">
      <c r="A707" s="260"/>
      <c r="B707" s="260"/>
      <c r="C707" s="260"/>
      <c r="D707" s="81" t="s">
        <v>188</v>
      </c>
      <c r="E707" s="180">
        <v>0.036</v>
      </c>
      <c r="F707" s="98"/>
      <c r="G707" s="92" t="str">
        <f t="shared" si="2"/>
        <v>Lead seal scrap with lash wire - 0.036, </v>
      </c>
      <c r="H707" s="98"/>
      <c r="I707" s="98" t="e">
        <f ca="1">IF(G706&gt;=6,(MID(H707,1,1)&amp;MID(H707,2,3)+1),CELL("address",Z707))</f>
        <v>#VALUE!</v>
      </c>
      <c r="J707" s="98" t="e">
        <f ca="1">IF(G706&gt;=7,(MID(I707,1,1)&amp;MID(I707,2,3)+1),CELL("address",AA707))</f>
        <v>#VALUE!</v>
      </c>
      <c r="K707" s="98" t="e">
        <f ca="1">IF(G706&gt;=8,(MID(J707,1,1)&amp;MID(J707,2,3)+1),CELL("address",AB707))</f>
        <v>#VALUE!</v>
      </c>
      <c r="L707" s="98" t="e">
        <f ca="1">IF(G706&gt;=9,(MID(K707,1,1)&amp;MID(K707,2,3)+1),CELL("address",AC707))</f>
        <v>#VALUE!</v>
      </c>
      <c r="M707" s="98" t="e">
        <f ca="1">IF(G706&gt;=10,(MID(L707,1,1)&amp;MID(L707,2,3)+1),CELL("address",AD707))</f>
        <v>#VALUE!</v>
      </c>
      <c r="N707" s="98" t="e">
        <f ca="1">IF(G706&gt;=11,(MID(M707,1,1)&amp;MID(M707,2,3)+1),CELL("address",AE707))</f>
        <v>#VALUE!</v>
      </c>
      <c r="O707" s="98" t="e">
        <f ca="1">IF(G706&gt;=12,(MID(N707,1,1)&amp;MID(N707,2,3)+1),CELL("address",AF707))</f>
        <v>#VALUE!</v>
      </c>
    </row>
    <row r="708" spans="1:8" ht="15" customHeight="1">
      <c r="A708" s="260"/>
      <c r="B708" s="260"/>
      <c r="C708" s="260"/>
      <c r="D708" s="195" t="s">
        <v>168</v>
      </c>
      <c r="E708" s="120">
        <v>1.345</v>
      </c>
      <c r="G708" s="92" t="str">
        <f t="shared" si="2"/>
        <v>ABC cable scrap (70/95 mm) - 1.345, </v>
      </c>
      <c r="H708" s="1"/>
    </row>
    <row r="709" spans="1:8" ht="15" customHeight="1">
      <c r="A709" s="260"/>
      <c r="B709" s="260"/>
      <c r="C709" s="260"/>
      <c r="D709" s="81" t="s">
        <v>97</v>
      </c>
      <c r="E709" s="120">
        <v>0.065</v>
      </c>
      <c r="G709" s="92" t="str">
        <f t="shared" si="2"/>
        <v>1/ core XLPE Alu cable scrap - 0.065, </v>
      </c>
      <c r="H709" s="1"/>
    </row>
    <row r="710" spans="1:8" ht="15" customHeight="1">
      <c r="A710" s="50"/>
      <c r="B710" s="115"/>
      <c r="C710" s="59"/>
      <c r="D710" s="71"/>
      <c r="E710" s="120"/>
      <c r="H710" s="1"/>
    </row>
    <row r="711" spans="1:8" ht="15" customHeight="1">
      <c r="A711" s="39"/>
      <c r="B711" s="230"/>
      <c r="C711" s="231"/>
      <c r="D711" s="232" t="s">
        <v>253</v>
      </c>
      <c r="E711" s="176">
        <f>SUM(E713:E716)</f>
        <v>1.8059999999999998</v>
      </c>
      <c r="H711" s="1"/>
    </row>
    <row r="712" spans="1:18" ht="15" customHeight="1">
      <c r="A712" s="40" t="s">
        <v>5</v>
      </c>
      <c r="B712" s="262" t="s">
        <v>17</v>
      </c>
      <c r="C712" s="263"/>
      <c r="D712" s="222" t="s">
        <v>18</v>
      </c>
      <c r="E712" s="39" t="s">
        <v>7</v>
      </c>
      <c r="G712" s="93" t="str">
        <f>CONCATENATE("Cable Scrap, Lying at ",B713,". Quantity in MT - ")</f>
        <v>Cable Scrap, Lying at CS Mohali. Quantity in MT - </v>
      </c>
      <c r="H712" s="268" t="str">
        <f ca="1">CONCATENATE(G712,G713,(INDIRECT(I713)),(INDIRECT(J713)),(INDIRECT(K713)),(INDIRECT(L713)),(INDIRECT(M713)),(INDIRECT(N713)),(INDIRECT(O713)),(INDIRECT(P713)),(INDIRECT(Q713)),(INDIRECT(R713)))</f>
        <v>Cable Scrap, Lying at CS Mohali. Quantity in MT - 4/core PVC Alumn. Cable scrap - 1.297, 3/ core XLPE Alu cable scrap - 0.208, 1/core PVC Alumn. Cable scrap - 0.158, 2/core PVC Alumn. Cable scrap - 0.143, </v>
      </c>
      <c r="I712" s="98" t="str">
        <f aca="true" ca="1" t="array" ref="I712">CELL("address",INDEX(G712:G736,MATCH(TRUE,ISBLANK(G712:G736),0)))</f>
        <v>$G$717</v>
      </c>
      <c r="J712" s="98">
        <f aca="true" t="array" ref="J712">MATCH(TRUE,ISBLANK(G712:G736),0)</f>
        <v>6</v>
      </c>
      <c r="K712" s="98">
        <f>J712-3</f>
        <v>3</v>
      </c>
      <c r="L712" s="98"/>
      <c r="M712" s="98"/>
      <c r="N712" s="98"/>
      <c r="O712" s="98"/>
      <c r="P712" s="98"/>
      <c r="Q712" s="98"/>
      <c r="R712" s="98"/>
    </row>
    <row r="713" spans="1:18" ht="15" customHeight="1">
      <c r="A713" s="260" t="s">
        <v>251</v>
      </c>
      <c r="B713" s="260" t="s">
        <v>62</v>
      </c>
      <c r="C713" s="260"/>
      <c r="D713" s="45" t="s">
        <v>91</v>
      </c>
      <c r="E713" s="39">
        <v>1.297</v>
      </c>
      <c r="F713" s="98"/>
      <c r="G713" s="92" t="str">
        <f>CONCATENATE(D713," - ",E713,", ")</f>
        <v>4/core PVC Alumn. Cable scrap - 1.297, </v>
      </c>
      <c r="H713" s="268"/>
      <c r="I713" s="98" t="str">
        <f ca="1">IF(J712&gt;=3,(MID(I712,2,1)&amp;MID(I712,4,3)-K712),CELL("address",Z713))</f>
        <v>G714</v>
      </c>
      <c r="J713" s="98" t="str">
        <f ca="1">IF(J712&gt;=4,(MID(I713,1,1)&amp;MID(I713,2,3)+1),CELL("address",AA713))</f>
        <v>G715</v>
      </c>
      <c r="K713" s="98" t="str">
        <f ca="1">IF(J712&gt;=5,(MID(J713,1,1)&amp;MID(J713,2,3)+1),CELL("address",AB713))</f>
        <v>G716</v>
      </c>
      <c r="L713" s="98" t="str">
        <f ca="1">IF(J712&gt;=6,(MID(K713,1,1)&amp;MID(K713,2,3)+1),CELL("address",AC713))</f>
        <v>G717</v>
      </c>
      <c r="M713" s="98" t="str">
        <f ca="1">IF(J712&gt;=7,(MID(L713,1,1)&amp;MID(L713,2,3)+1),CELL("address",AD713))</f>
        <v>$AD$713</v>
      </c>
      <c r="N713" s="98" t="str">
        <f ca="1">IF(J712&gt;=8,(MID(M713,1,1)&amp;MID(M713,2,3)+1),CELL("address",AE713))</f>
        <v>$AE$713</v>
      </c>
      <c r="O713" s="98" t="str">
        <f ca="1">IF(J712&gt;=9,(MID(N713,1,1)&amp;MID(N713,2,3)+1),CELL("address",AF713))</f>
        <v>$AF$713</v>
      </c>
      <c r="P713" s="98" t="str">
        <f ca="1">IF(J712&gt;=10,(MID(O713,1,1)&amp;MID(O713,2,3)+1),CELL("address",AG713))</f>
        <v>$AG$713</v>
      </c>
      <c r="Q713" s="98" t="str">
        <f ca="1">IF(J712&gt;=11,(MID(P713,1,1)&amp;MID(P713,2,3)+1),CELL("address",AH713))</f>
        <v>$AH$713</v>
      </c>
      <c r="R713" s="98" t="str">
        <f ca="1">IF(J712&gt;=12,(MID(Q713,1,1)&amp;MID(Q713,2,3)+1),CELL("address",AI713))</f>
        <v>$AI$713</v>
      </c>
    </row>
    <row r="714" spans="1:15" ht="15" customHeight="1">
      <c r="A714" s="260"/>
      <c r="B714" s="260"/>
      <c r="C714" s="260"/>
      <c r="D714" s="45" t="s">
        <v>92</v>
      </c>
      <c r="E714" s="69">
        <v>0.208</v>
      </c>
      <c r="F714" s="98"/>
      <c r="G714" s="92" t="str">
        <f>CONCATENATE(D714," - ",E714,", ")</f>
        <v>3/ core XLPE Alu cable scrap - 0.208, </v>
      </c>
      <c r="H714" s="98"/>
      <c r="I714" s="98" t="e">
        <f ca="1">IF(G713&gt;=6,(MID(H714,1,1)&amp;MID(H714,2,3)+1),CELL("address",Z714))</f>
        <v>#VALUE!</v>
      </c>
      <c r="J714" s="98" t="e">
        <f ca="1">IF(G713&gt;=7,(MID(I714,1,1)&amp;MID(I714,2,3)+1),CELL("address",AA714))</f>
        <v>#VALUE!</v>
      </c>
      <c r="K714" s="98" t="e">
        <f ca="1">IF(G713&gt;=8,(MID(J714,1,1)&amp;MID(J714,2,3)+1),CELL("address",AB714))</f>
        <v>#VALUE!</v>
      </c>
      <c r="L714" s="98" t="e">
        <f ca="1">IF(G713&gt;=9,(MID(K714,1,1)&amp;MID(K714,2,3)+1),CELL("address",AC714))</f>
        <v>#VALUE!</v>
      </c>
      <c r="M714" s="98" t="e">
        <f ca="1">IF(G713&gt;=10,(MID(L714,1,1)&amp;MID(L714,2,3)+1),CELL("address",AD714))</f>
        <v>#VALUE!</v>
      </c>
      <c r="N714" s="98" t="e">
        <f ca="1">IF(G713&gt;=11,(MID(M714,1,1)&amp;MID(M714,2,3)+1),CELL("address",AE714))</f>
        <v>#VALUE!</v>
      </c>
      <c r="O714" s="98" t="e">
        <f ca="1">IF(G713&gt;=12,(MID(N714,1,1)&amp;MID(N714,2,3)+1),CELL("address",AF714))</f>
        <v>#VALUE!</v>
      </c>
    </row>
    <row r="715" spans="1:8" ht="15" customHeight="1">
      <c r="A715" s="260"/>
      <c r="B715" s="260"/>
      <c r="C715" s="260"/>
      <c r="D715" s="45" t="s">
        <v>171</v>
      </c>
      <c r="E715" s="69">
        <v>0.158</v>
      </c>
      <c r="G715" s="92" t="str">
        <f>CONCATENATE(D715," - ",E715,", ")</f>
        <v>1/core PVC Alumn. Cable scrap - 0.158, </v>
      </c>
      <c r="H715" s="1"/>
    </row>
    <row r="716" spans="1:8" ht="15" customHeight="1">
      <c r="A716" s="260"/>
      <c r="B716" s="260"/>
      <c r="C716" s="260"/>
      <c r="D716" s="45" t="s">
        <v>90</v>
      </c>
      <c r="E716" s="69">
        <v>0.143</v>
      </c>
      <c r="G716" s="92" t="str">
        <f>CONCATENATE(D716," - ",E716,", ")</f>
        <v>2/core PVC Alumn. Cable scrap - 0.143, </v>
      </c>
      <c r="H716" s="1"/>
    </row>
    <row r="717" spans="1:8" ht="15" customHeight="1">
      <c r="A717" s="51"/>
      <c r="B717" s="54"/>
      <c r="C717" s="97"/>
      <c r="D717" s="34"/>
      <c r="E717" s="226"/>
      <c r="H717" s="1"/>
    </row>
    <row r="718" spans="1:8" ht="15" customHeight="1">
      <c r="A718" s="40"/>
      <c r="B718" s="272"/>
      <c r="C718" s="273"/>
      <c r="D718" s="229"/>
      <c r="E718" s="57">
        <f>SUM(E720:E722)</f>
        <v>1.7309999999999999</v>
      </c>
      <c r="H718" s="1"/>
    </row>
    <row r="719" spans="1:18" ht="15" customHeight="1">
      <c r="A719" s="40" t="s">
        <v>5</v>
      </c>
      <c r="B719" s="260" t="s">
        <v>17</v>
      </c>
      <c r="C719" s="260"/>
      <c r="D719" s="221" t="s">
        <v>18</v>
      </c>
      <c r="E719" s="39" t="s">
        <v>7</v>
      </c>
      <c r="F719" s="98"/>
      <c r="G719" s="93" t="str">
        <f>CONCATENATE("Cable Scrap, Lying at ",B720,". Quantity in MT - ")</f>
        <v>Cable Scrap, Lying at OL Fazilka. Quantity in MT - </v>
      </c>
      <c r="H719" s="268" t="str">
        <f ca="1">CONCATENATE(G719,G720,(INDIRECT(I720)),(INDIRECT(J720)),(INDIRECT(K720)),(INDIRECT(L720)),(INDIRECT(M720)),(INDIRECT(N720)),(INDIRECT(O720)),(INDIRECT(P720)),(INDIRECT(Q720)),(INDIRECT(R720)))</f>
        <v>Cable Scrap, Lying at OL Fazilka. Quantity in MT - 2/core PVC Alumn. Cable scrap - 0.106, 4/core PVC Alumn. Cable scrap - 0.471, 3/ core XLPE Alu cable scrap - 1.154, </v>
      </c>
      <c r="I719" s="98" t="str">
        <f aca="true" ca="1" t="array" ref="I719">CELL("address",INDEX(G719:G743,MATCH(TRUE,ISBLANK(G719:G743),0)))</f>
        <v>$G$723</v>
      </c>
      <c r="J719" s="98">
        <f aca="true" t="array" ref="J719">MATCH(TRUE,ISBLANK(G719:G743),0)</f>
        <v>5</v>
      </c>
      <c r="K719" s="98">
        <f>J719-3</f>
        <v>2</v>
      </c>
      <c r="L719" s="98"/>
      <c r="M719" s="98"/>
      <c r="N719" s="98"/>
      <c r="O719" s="98"/>
      <c r="P719" s="98"/>
      <c r="Q719" s="98"/>
      <c r="R719" s="98"/>
    </row>
    <row r="720" spans="1:18" ht="15" customHeight="1">
      <c r="A720" s="260" t="s">
        <v>252</v>
      </c>
      <c r="B720" s="260" t="s">
        <v>112</v>
      </c>
      <c r="C720" s="260"/>
      <c r="D720" s="45" t="s">
        <v>90</v>
      </c>
      <c r="E720" s="69">
        <v>0.106</v>
      </c>
      <c r="F720" s="98"/>
      <c r="G720" s="92" t="str">
        <f>CONCATENATE(D720," - ",E720,", ")</f>
        <v>2/core PVC Alumn. Cable scrap - 0.106, </v>
      </c>
      <c r="H720" s="268"/>
      <c r="I720" s="98" t="str">
        <f ca="1">IF(J719&gt;=3,(MID(I719,2,1)&amp;MID(I719,4,3)-K719),CELL("address",Z720))</f>
        <v>G721</v>
      </c>
      <c r="J720" s="98" t="str">
        <f ca="1">IF(J719&gt;=4,(MID(I720,1,1)&amp;MID(I720,2,3)+1),CELL("address",AA720))</f>
        <v>G722</v>
      </c>
      <c r="K720" s="98" t="str">
        <f ca="1">IF(J719&gt;=5,(MID(J720,1,1)&amp;MID(J720,2,3)+1),CELL("address",AB720))</f>
        <v>G723</v>
      </c>
      <c r="L720" s="98" t="str">
        <f ca="1">IF(J719&gt;=6,(MID(K720,1,1)&amp;MID(K720,2,3)+1),CELL("address",AC720))</f>
        <v>$AC$720</v>
      </c>
      <c r="M720" s="98" t="str">
        <f ca="1">IF(J719&gt;=7,(MID(L720,1,1)&amp;MID(L720,2,3)+1),CELL("address",AD720))</f>
        <v>$AD$720</v>
      </c>
      <c r="N720" s="98" t="str">
        <f ca="1">IF(J719&gt;=8,(MID(M720,1,1)&amp;MID(M720,2,3)+1),CELL("address",AE720))</f>
        <v>$AE$720</v>
      </c>
      <c r="O720" s="98" t="str">
        <f ca="1">IF(J719&gt;=9,(MID(N720,1,1)&amp;MID(N720,2,3)+1),CELL("address",AF720))</f>
        <v>$AF$720</v>
      </c>
      <c r="P720" s="98" t="str">
        <f ca="1">IF(J719&gt;=10,(MID(O720,1,1)&amp;MID(O720,2,3)+1),CELL("address",AG720))</f>
        <v>$AG$720</v>
      </c>
      <c r="Q720" s="98" t="str">
        <f ca="1">IF(J719&gt;=11,(MID(P720,1,1)&amp;MID(P720,2,3)+1),CELL("address",AH720))</f>
        <v>$AH$720</v>
      </c>
      <c r="R720" s="98" t="str">
        <f ca="1">IF(J719&gt;=12,(MID(Q720,1,1)&amp;MID(Q720,2,3)+1),CELL("address",AI720))</f>
        <v>$AI$720</v>
      </c>
    </row>
    <row r="721" spans="1:8" ht="15" customHeight="1">
      <c r="A721" s="260"/>
      <c r="B721" s="260"/>
      <c r="C721" s="260"/>
      <c r="D721" s="45" t="s">
        <v>91</v>
      </c>
      <c r="E721" s="69">
        <v>0.471</v>
      </c>
      <c r="G721" s="92" t="str">
        <f>CONCATENATE(D721," - ",E721,", ")</f>
        <v>4/core PVC Alumn. Cable scrap - 0.471, </v>
      </c>
      <c r="H721" s="1"/>
    </row>
    <row r="722" spans="1:8" ht="15" customHeight="1">
      <c r="A722" s="260"/>
      <c r="B722" s="260"/>
      <c r="C722" s="260"/>
      <c r="D722" s="81" t="s">
        <v>92</v>
      </c>
      <c r="E722" s="69">
        <v>1.154</v>
      </c>
      <c r="G722" s="92" t="str">
        <f>CONCATENATE(D722," - ",E722,", ")</f>
        <v>3/ core XLPE Alu cable scrap - 1.154, </v>
      </c>
      <c r="H722" s="1"/>
    </row>
    <row r="723" spans="1:8" ht="15" customHeight="1">
      <c r="A723" s="39"/>
      <c r="B723" s="41"/>
      <c r="C723" s="42"/>
      <c r="D723" s="45"/>
      <c r="E723" s="69"/>
      <c r="H723" s="1"/>
    </row>
    <row r="724" spans="1:8" ht="15" customHeight="1">
      <c r="A724" s="50"/>
      <c r="B724" s="230"/>
      <c r="C724" s="231"/>
      <c r="D724" s="80"/>
      <c r="E724" s="182">
        <f>SUM(E726:E729)</f>
        <v>3.199</v>
      </c>
      <c r="H724" s="1"/>
    </row>
    <row r="725" spans="1:18" ht="15" customHeight="1">
      <c r="A725" s="40" t="s">
        <v>5</v>
      </c>
      <c r="B725" s="262" t="s">
        <v>17</v>
      </c>
      <c r="C725" s="263"/>
      <c r="D725" s="222" t="s">
        <v>18</v>
      </c>
      <c r="E725" s="39" t="s">
        <v>7</v>
      </c>
      <c r="G725" s="93" t="str">
        <f>CONCATENATE("Cable Scrap, Lying at ",B726,". Quantity in MT - ")</f>
        <v>Cable Scrap, Lying at OL Malerkotla. Quantity in MT - </v>
      </c>
      <c r="H725" s="268" t="str">
        <f ca="1">CONCATENATE(G725,G726,(INDIRECT(I726)),(INDIRECT(J726)),(INDIRECT(K726)),(INDIRECT(L726)),(INDIRECT(M726)),(INDIRECT(N726)),(INDIRECT(O726)),(INDIRECT(P726)),(INDIRECT(Q726)),(INDIRECT(R726)))</f>
        <v>Cable Scrap, Lying at OL Malerkotla. Quantity in MT - 2/core PVC Alumn. Cable scrap - 0.512, 4/core PVC Alumn. Cable scrap - 0.688, 3/ core XLPE Alu cable scrap - 0.975, ABC cable scrap (70/95 mm) - 1.024, </v>
      </c>
      <c r="I725" s="98" t="str">
        <f aca="true" ca="1" t="array" ref="I725">CELL("address",INDEX(G725:G749,MATCH(TRUE,ISBLANK(G725:G749),0)))</f>
        <v>$G$730</v>
      </c>
      <c r="J725" s="98">
        <f aca="true" t="array" ref="J725">MATCH(TRUE,ISBLANK(G725:G749),0)</f>
        <v>6</v>
      </c>
      <c r="K725" s="98">
        <f>J725-3</f>
        <v>3</v>
      </c>
      <c r="L725" s="98"/>
      <c r="M725" s="98"/>
      <c r="N725" s="98"/>
      <c r="O725" s="98"/>
      <c r="P725" s="98"/>
      <c r="Q725" s="98"/>
      <c r="R725" s="98"/>
    </row>
    <row r="726" spans="1:18" ht="15" customHeight="1">
      <c r="A726" s="260" t="s">
        <v>264</v>
      </c>
      <c r="B726" s="260" t="s">
        <v>126</v>
      </c>
      <c r="C726" s="260"/>
      <c r="D726" s="45" t="s">
        <v>90</v>
      </c>
      <c r="E726" s="39">
        <v>0.512</v>
      </c>
      <c r="F726" s="98"/>
      <c r="G726" s="92" t="str">
        <f>CONCATENATE(D726," - ",E726,", ")</f>
        <v>2/core PVC Alumn. Cable scrap - 0.512, </v>
      </c>
      <c r="H726" s="268"/>
      <c r="I726" s="98" t="str">
        <f ca="1">IF(J725&gt;=3,(MID(I725,2,1)&amp;MID(I725,4,3)-K725),CELL("address",Z726))</f>
        <v>G727</v>
      </c>
      <c r="J726" s="98" t="str">
        <f ca="1">IF(J725&gt;=4,(MID(I726,1,1)&amp;MID(I726,2,3)+1),CELL("address",AA726))</f>
        <v>G728</v>
      </c>
      <c r="K726" s="98" t="str">
        <f ca="1">IF(J725&gt;=5,(MID(J726,1,1)&amp;MID(J726,2,3)+1),CELL("address",AB726))</f>
        <v>G729</v>
      </c>
      <c r="L726" s="98" t="str">
        <f ca="1">IF(J725&gt;=6,(MID(K726,1,1)&amp;MID(K726,2,3)+1),CELL("address",AC726))</f>
        <v>G730</v>
      </c>
      <c r="M726" s="98" t="str">
        <f ca="1">IF(J725&gt;=7,(MID(L726,1,1)&amp;MID(L726,2,3)+1),CELL("address",AD726))</f>
        <v>$AD$726</v>
      </c>
      <c r="N726" s="98" t="str">
        <f ca="1">IF(J725&gt;=8,(MID(M726,1,1)&amp;MID(M726,2,3)+1),CELL("address",AE726))</f>
        <v>$AE$726</v>
      </c>
      <c r="O726" s="98" t="str">
        <f ca="1">IF(J725&gt;=9,(MID(N726,1,1)&amp;MID(N726,2,3)+1),CELL("address",AF726))</f>
        <v>$AF$726</v>
      </c>
      <c r="P726" s="98" t="str">
        <f ca="1">IF(J725&gt;=10,(MID(O726,1,1)&amp;MID(O726,2,3)+1),CELL("address",AG726))</f>
        <v>$AG$726</v>
      </c>
      <c r="Q726" s="98" t="str">
        <f ca="1">IF(J725&gt;=11,(MID(P726,1,1)&amp;MID(P726,2,3)+1),CELL("address",AH726))</f>
        <v>$AH$726</v>
      </c>
      <c r="R726" s="98" t="str">
        <f ca="1">IF(J725&gt;=12,(MID(Q726,1,1)&amp;MID(Q726,2,3)+1),CELL("address",AI726))</f>
        <v>$AI$726</v>
      </c>
    </row>
    <row r="727" spans="1:15" ht="15" customHeight="1">
      <c r="A727" s="260"/>
      <c r="B727" s="260"/>
      <c r="C727" s="260"/>
      <c r="D727" s="45" t="s">
        <v>91</v>
      </c>
      <c r="E727" s="69">
        <v>0.688</v>
      </c>
      <c r="F727" s="98"/>
      <c r="G727" s="92" t="str">
        <f>CONCATENATE(D727," - ",E727,", ")</f>
        <v>4/core PVC Alumn. Cable scrap - 0.688, </v>
      </c>
      <c r="H727" s="98"/>
      <c r="I727" s="98" t="e">
        <f ca="1">IF(G726&gt;=6,(MID(H727,1,1)&amp;MID(H727,2,3)+1),CELL("address",Z727))</f>
        <v>#VALUE!</v>
      </c>
      <c r="J727" s="98" t="e">
        <f ca="1">IF(G726&gt;=7,(MID(I727,1,1)&amp;MID(I727,2,3)+1),CELL("address",AA727))</f>
        <v>#VALUE!</v>
      </c>
      <c r="K727" s="98" t="e">
        <f ca="1">IF(G726&gt;=8,(MID(J727,1,1)&amp;MID(J727,2,3)+1),CELL("address",AB727))</f>
        <v>#VALUE!</v>
      </c>
      <c r="L727" s="98" t="e">
        <f ca="1">IF(G726&gt;=9,(MID(K727,1,1)&amp;MID(K727,2,3)+1),CELL("address",AC727))</f>
        <v>#VALUE!</v>
      </c>
      <c r="M727" s="98" t="e">
        <f ca="1">IF(G726&gt;=10,(MID(L727,1,1)&amp;MID(L727,2,3)+1),CELL("address",AD727))</f>
        <v>#VALUE!</v>
      </c>
      <c r="N727" s="98" t="e">
        <f ca="1">IF(G726&gt;=11,(MID(M727,1,1)&amp;MID(M727,2,3)+1),CELL("address",AE727))</f>
        <v>#VALUE!</v>
      </c>
      <c r="O727" s="98" t="e">
        <f ca="1">IF(G726&gt;=12,(MID(N727,1,1)&amp;MID(N727,2,3)+1),CELL("address",AF727))</f>
        <v>#VALUE!</v>
      </c>
    </row>
    <row r="728" spans="1:8" ht="15" customHeight="1">
      <c r="A728" s="260"/>
      <c r="B728" s="260"/>
      <c r="C728" s="260"/>
      <c r="D728" s="45" t="s">
        <v>92</v>
      </c>
      <c r="E728" s="69">
        <v>0.975</v>
      </c>
      <c r="G728" s="92" t="str">
        <f>CONCATENATE(D728," - ",E728,", ")</f>
        <v>3/ core XLPE Alu cable scrap - 0.975, </v>
      </c>
      <c r="H728" s="1"/>
    </row>
    <row r="729" spans="1:8" ht="15" customHeight="1">
      <c r="A729" s="260"/>
      <c r="B729" s="260"/>
      <c r="C729" s="260"/>
      <c r="D729" s="71" t="s">
        <v>168</v>
      </c>
      <c r="E729" s="196">
        <v>1.024</v>
      </c>
      <c r="G729" s="92" t="str">
        <f>CONCATENATE(D729," - ",E729,", ")</f>
        <v>ABC cable scrap (70/95 mm) - 1.024, </v>
      </c>
      <c r="H729" s="1"/>
    </row>
    <row r="730" spans="1:8" ht="15" customHeight="1">
      <c r="A730" s="39"/>
      <c r="B730" s="41"/>
      <c r="C730" s="42"/>
      <c r="D730" s="76"/>
      <c r="E730" s="178"/>
      <c r="H730" s="1"/>
    </row>
    <row r="731" spans="1:8" ht="15" customHeight="1">
      <c r="A731" s="50"/>
      <c r="B731" s="230"/>
      <c r="C731" s="231"/>
      <c r="D731" s="80"/>
      <c r="E731" s="182">
        <f>SUM(E733:E736)</f>
        <v>4.92</v>
      </c>
      <c r="H731" s="1"/>
    </row>
    <row r="732" spans="1:18" ht="15" customHeight="1">
      <c r="A732" s="40" t="s">
        <v>5</v>
      </c>
      <c r="B732" s="262" t="s">
        <v>17</v>
      </c>
      <c r="C732" s="263"/>
      <c r="D732" s="222" t="s">
        <v>18</v>
      </c>
      <c r="E732" s="39" t="s">
        <v>7</v>
      </c>
      <c r="G732" s="93" t="str">
        <f>CONCATENATE("Cable Scrap, Lying at ",B733,". Quantity in MT - ")</f>
        <v>Cable Scrap, Lying at OL Moga. Quantity in MT - </v>
      </c>
      <c r="H732" s="268" t="str">
        <f ca="1">CONCATENATE(G732,G733,(INDIRECT(I733)),(INDIRECT(J733)),(INDIRECT(K733)),(INDIRECT(L733)),(INDIRECT(M733)),(INDIRECT(N733)),(INDIRECT(O733)),(INDIRECT(P733)),(INDIRECT(Q733)),(INDIRECT(R733)))</f>
        <v>Cable Scrap, Lying at OL Moga. Quantity in MT - 2/core PVC Alumn. Cable scrap - 1.19, 4/core PVC Alumn. Cable scrap - 1.994, 1/ core XLPE Alu cable scrap - 0.239, 3/ core XLPE Alu cable scrap - 1.497, </v>
      </c>
      <c r="I732" s="98" t="str">
        <f aca="true" ca="1" t="array" ref="I732">CELL("address",INDEX(G732:G756,MATCH(TRUE,ISBLANK(G732:G756),0)))</f>
        <v>$G$737</v>
      </c>
      <c r="J732" s="98">
        <f aca="true" t="array" ref="J732">MATCH(TRUE,ISBLANK(G732:G756),0)</f>
        <v>6</v>
      </c>
      <c r="K732" s="98">
        <f>J732-3</f>
        <v>3</v>
      </c>
      <c r="L732" s="98"/>
      <c r="M732" s="98"/>
      <c r="N732" s="98"/>
      <c r="O732" s="98"/>
      <c r="P732" s="98"/>
      <c r="Q732" s="98"/>
      <c r="R732" s="98"/>
    </row>
    <row r="733" spans="1:18" ht="15" customHeight="1">
      <c r="A733" s="260" t="s">
        <v>268</v>
      </c>
      <c r="B733" s="260" t="s">
        <v>269</v>
      </c>
      <c r="C733" s="260"/>
      <c r="D733" s="45" t="s">
        <v>90</v>
      </c>
      <c r="E733" s="39">
        <v>1.19</v>
      </c>
      <c r="G733" s="92" t="str">
        <f>CONCATENATE(D733," - ",E733,", ")</f>
        <v>2/core PVC Alumn. Cable scrap - 1.19, </v>
      </c>
      <c r="H733" s="268"/>
      <c r="I733" s="98" t="str">
        <f ca="1">IF(J732&gt;=3,(MID(I732,2,1)&amp;MID(I732,4,3)-K732),CELL("address",Z733))</f>
        <v>G734</v>
      </c>
      <c r="J733" s="98" t="str">
        <f ca="1">IF(J732&gt;=4,(MID(I733,1,1)&amp;MID(I733,2,3)+1),CELL("address",AA733))</f>
        <v>G735</v>
      </c>
      <c r="K733" s="98" t="str">
        <f ca="1">IF(J732&gt;=5,(MID(J733,1,1)&amp;MID(J733,2,3)+1),CELL("address",AB733))</f>
        <v>G736</v>
      </c>
      <c r="L733" s="98" t="str">
        <f ca="1">IF(J732&gt;=6,(MID(K733,1,1)&amp;MID(K733,2,3)+1),CELL("address",AC733))</f>
        <v>G737</v>
      </c>
      <c r="M733" s="98" t="str">
        <f ca="1">IF(J732&gt;=7,(MID(L733,1,1)&amp;MID(L733,2,3)+1),CELL("address",AD733))</f>
        <v>$AD$733</v>
      </c>
      <c r="N733" s="98" t="str">
        <f ca="1">IF(J732&gt;=8,(MID(M733,1,1)&amp;MID(M733,2,3)+1),CELL("address",AE733))</f>
        <v>$AE$733</v>
      </c>
      <c r="O733" s="98" t="str">
        <f ca="1">IF(J732&gt;=9,(MID(N733,1,1)&amp;MID(N733,2,3)+1),CELL("address",AF733))</f>
        <v>$AF$733</v>
      </c>
      <c r="P733" s="98" t="str">
        <f ca="1">IF(J732&gt;=10,(MID(O733,1,1)&amp;MID(O733,2,3)+1),CELL("address",AG733))</f>
        <v>$AG$733</v>
      </c>
      <c r="Q733" s="98" t="str">
        <f ca="1">IF(J732&gt;=11,(MID(P733,1,1)&amp;MID(P733,2,3)+1),CELL("address",AH733))</f>
        <v>$AH$733</v>
      </c>
      <c r="R733" s="98" t="str">
        <f ca="1">IF(J732&gt;=12,(MID(Q733,1,1)&amp;MID(Q733,2,3)+1),CELL("address",AI733))</f>
        <v>$AI$733</v>
      </c>
    </row>
    <row r="734" spans="1:15" ht="15" customHeight="1">
      <c r="A734" s="260"/>
      <c r="B734" s="260"/>
      <c r="C734" s="260"/>
      <c r="D734" s="45" t="s">
        <v>91</v>
      </c>
      <c r="E734" s="69">
        <v>1.994</v>
      </c>
      <c r="F734" s="98"/>
      <c r="G734" s="92" t="str">
        <f>CONCATENATE(D734," - ",E734,", ")</f>
        <v>4/core PVC Alumn. Cable scrap - 1.994, </v>
      </c>
      <c r="H734" s="98"/>
      <c r="I734" s="98"/>
      <c r="J734" s="98"/>
      <c r="K734" s="98"/>
      <c r="L734" s="98"/>
      <c r="M734" s="98"/>
      <c r="N734" s="98"/>
      <c r="O734" s="98"/>
    </row>
    <row r="735" spans="1:15" ht="15" customHeight="1">
      <c r="A735" s="260"/>
      <c r="B735" s="260"/>
      <c r="C735" s="260"/>
      <c r="D735" s="45" t="s">
        <v>97</v>
      </c>
      <c r="E735" s="69">
        <v>0.239</v>
      </c>
      <c r="F735" s="98"/>
      <c r="G735" s="92" t="str">
        <f>CONCATENATE(D735," - ",E735,", ")</f>
        <v>1/ core XLPE Alu cable scrap - 0.239, </v>
      </c>
      <c r="H735" s="98"/>
      <c r="I735" s="98" t="e">
        <f ca="1">IF(G734&gt;=6,(MID(H735,1,1)&amp;MID(H735,2,3)+1),CELL("address",Z735))</f>
        <v>#VALUE!</v>
      </c>
      <c r="J735" s="98" t="e">
        <f ca="1">IF(G734&gt;=7,(MID(I735,1,1)&amp;MID(I735,2,3)+1),CELL("address",AA735))</f>
        <v>#VALUE!</v>
      </c>
      <c r="K735" s="98" t="e">
        <f ca="1">IF(G734&gt;=8,(MID(J735,1,1)&amp;MID(J735,2,3)+1),CELL("address",AB735))</f>
        <v>#VALUE!</v>
      </c>
      <c r="L735" s="98" t="e">
        <f ca="1">IF(G734&gt;=9,(MID(K735,1,1)&amp;MID(K735,2,3)+1),CELL("address",AC735))</f>
        <v>#VALUE!</v>
      </c>
      <c r="M735" s="98" t="e">
        <f ca="1">IF(G734&gt;=10,(MID(L735,1,1)&amp;MID(L735,2,3)+1),CELL("address",AD735))</f>
        <v>#VALUE!</v>
      </c>
      <c r="N735" s="98" t="e">
        <f ca="1">IF(G734&gt;=11,(MID(M735,1,1)&amp;MID(M735,2,3)+1),CELL("address",AE735))</f>
        <v>#VALUE!</v>
      </c>
      <c r="O735" s="98" t="e">
        <f ca="1">IF(G734&gt;=12,(MID(N735,1,1)&amp;MID(N735,2,3)+1),CELL("address",AF735))</f>
        <v>#VALUE!</v>
      </c>
    </row>
    <row r="736" spans="1:8" ht="15" customHeight="1">
      <c r="A736" s="260"/>
      <c r="B736" s="260"/>
      <c r="C736" s="260"/>
      <c r="D736" s="45" t="s">
        <v>92</v>
      </c>
      <c r="E736" s="196">
        <v>1.497</v>
      </c>
      <c r="G736" s="92" t="str">
        <f>CONCATENATE(D736," - ",E736,", ")</f>
        <v>3/ core XLPE Alu cable scrap - 1.497, </v>
      </c>
      <c r="H736" s="1"/>
    </row>
    <row r="737" spans="1:8" ht="13.5" customHeight="1">
      <c r="A737" s="39"/>
      <c r="B737" s="41"/>
      <c r="C737" s="42"/>
      <c r="D737" s="34"/>
      <c r="E737" s="178"/>
      <c r="H737" s="1"/>
    </row>
    <row r="738" spans="1:8" ht="20.25" customHeight="1">
      <c r="A738" s="12" t="s">
        <v>13</v>
      </c>
      <c r="B738" s="13"/>
      <c r="C738" s="9"/>
      <c r="D738" s="34"/>
      <c r="E738" s="183"/>
      <c r="H738" s="1"/>
    </row>
    <row r="739" spans="1:15" ht="15" customHeight="1">
      <c r="A739" s="53"/>
      <c r="B739" s="54"/>
      <c r="C739" s="55"/>
      <c r="D739" s="55"/>
      <c r="E739" s="167">
        <f>SUM(E741:E742)</f>
        <v>22.312</v>
      </c>
      <c r="F739" s="98"/>
      <c r="G739" s="98"/>
      <c r="H739" s="98"/>
      <c r="I739" s="98"/>
      <c r="J739" s="98"/>
      <c r="K739" s="98"/>
      <c r="L739" s="98"/>
      <c r="M739" s="98"/>
      <c r="N739" s="98"/>
      <c r="O739" s="98"/>
    </row>
    <row r="740" spans="1:18" ht="15" customHeight="1">
      <c r="A740" s="260" t="s">
        <v>5</v>
      </c>
      <c r="B740" s="260"/>
      <c r="C740" s="56" t="s">
        <v>17</v>
      </c>
      <c r="D740" s="221" t="s">
        <v>18</v>
      </c>
      <c r="E740" s="39" t="s">
        <v>7</v>
      </c>
      <c r="F740" s="98"/>
      <c r="G740" s="93" t="str">
        <f>CONCATENATE("Misc. Iron Scrap, Lying at ",C741,". Quantity in MT - ")</f>
        <v>Misc. Iron Scrap, Lying at Pilot W/Shop Sri Muktsar Sahib. Quantity in MT - </v>
      </c>
      <c r="H740" s="268" t="str">
        <f ca="1">CONCATENATE(G740,G741,(INDIRECT(I741)),(INDIRECT(J741)),(INDIRECT(K741)),(INDIRECT(L741)),(INDIRECT(M741)),(INDIRECT(N741)),(INDIRECT(O741)),(INDIRECT(P741)),(INDIRECT(Q741)),(INDIRECT(R741)),".")</f>
        <v>Misc. Iron Scrap, Lying at Pilot W/Shop Sri Muktsar Sahib. Quantity in MT - MS iron scrap / GI scrap - 10.182, HT wire scrap off size - 12.13, .</v>
      </c>
      <c r="I740" s="98" t="str">
        <f aca="true" ca="1" t="array" ref="I740">CELL("address",INDEX(G740:G758,MATCH(TRUE,ISBLANK(G740:G758),0)))</f>
        <v>$G$743</v>
      </c>
      <c r="J740" s="98">
        <f aca="true" t="array" ref="J740">MATCH(TRUE,ISBLANK(G740:G758),0)</f>
        <v>4</v>
      </c>
      <c r="K740" s="98">
        <f>J740-3</f>
        <v>1</v>
      </c>
      <c r="L740" s="98"/>
      <c r="M740" s="98"/>
      <c r="N740" s="98"/>
      <c r="O740" s="98"/>
      <c r="P740" s="98"/>
      <c r="Q740" s="98"/>
      <c r="R740" s="98"/>
    </row>
    <row r="741" spans="1:18" ht="15" customHeight="1">
      <c r="A741" s="275" t="s">
        <v>21</v>
      </c>
      <c r="B741" s="337"/>
      <c r="C741" s="261" t="s">
        <v>19</v>
      </c>
      <c r="D741" s="40" t="s">
        <v>20</v>
      </c>
      <c r="E741" s="69">
        <v>10.182</v>
      </c>
      <c r="G741" s="92" t="str">
        <f>CONCATENATE(D741," - ",E741,", ")</f>
        <v>MS iron scrap / GI scrap - 10.182, </v>
      </c>
      <c r="H741" s="268"/>
      <c r="I741" s="98" t="str">
        <f ca="1">IF(J740&gt;=3,(MID(I740,2,1)&amp;MID(I740,4,3)-K740),CELL("address",Z741))</f>
        <v>G742</v>
      </c>
      <c r="J741" s="98" t="str">
        <f ca="1">IF(J740&gt;=4,(MID(I741,1,1)&amp;MID(I741,2,3)+1),CELL("address",AA741))</f>
        <v>G743</v>
      </c>
      <c r="K741" s="98" t="str">
        <f ca="1">IF(J740&gt;=5,(MID(J741,1,1)&amp;MID(J741,2,3)+1),CELL("address",AB741))</f>
        <v>$AB$741</v>
      </c>
      <c r="L741" s="98" t="str">
        <f ca="1">IF(J740&gt;=6,(MID(K741,1,1)&amp;MID(K741,2,3)+1),CELL("address",AC741))</f>
        <v>$AC$741</v>
      </c>
      <c r="M741" s="98" t="str">
        <f ca="1">IF(J740&gt;=7,(MID(L741,1,1)&amp;MID(L741,2,3)+1),CELL("address",AD741))</f>
        <v>$AD$741</v>
      </c>
      <c r="N741" s="98" t="str">
        <f ca="1">IF(J740&gt;=8,(MID(M741,1,1)&amp;MID(M741,2,3)+1),CELL("address",AE741))</f>
        <v>$AE$741</v>
      </c>
      <c r="O741" s="98" t="str">
        <f ca="1">IF(J740&gt;=9,(MID(N741,1,1)&amp;MID(N741,2,3)+1),CELL("address",AF741))</f>
        <v>$AF$741</v>
      </c>
      <c r="P741" s="98" t="str">
        <f ca="1">IF(J740&gt;=10,(MID(O741,1,1)&amp;MID(O741,2,3)+1),CELL("address",AG741))</f>
        <v>$AG$741</v>
      </c>
      <c r="Q741" s="98" t="str">
        <f ca="1">IF(J740&gt;=11,(MID(P741,1,1)&amp;MID(P741,2,3)+1),CELL("address",AH741))</f>
        <v>$AH$741</v>
      </c>
      <c r="R741" s="98" t="str">
        <f ca="1">IF(J740&gt;=12,(MID(Q741,1,1)&amp;MID(Q741,2,3)+1),CELL("address",AI741))</f>
        <v>$AI$741</v>
      </c>
    </row>
    <row r="742" spans="1:8" ht="15" customHeight="1">
      <c r="A742" s="312"/>
      <c r="B742" s="313"/>
      <c r="C742" s="274"/>
      <c r="D742" s="40" t="s">
        <v>71</v>
      </c>
      <c r="E742" s="69">
        <v>12.13</v>
      </c>
      <c r="G742" s="92" t="str">
        <f>CONCATENATE(D742," - ",E742,", ")</f>
        <v>HT wire scrap off size - 12.13, </v>
      </c>
      <c r="H742" s="1"/>
    </row>
    <row r="743" spans="1:8" ht="15" customHeight="1">
      <c r="A743" s="39"/>
      <c r="B743" s="41"/>
      <c r="C743" s="48"/>
      <c r="D743" s="38"/>
      <c r="E743" s="184"/>
      <c r="G743" s="92"/>
      <c r="H743" s="1"/>
    </row>
    <row r="744" spans="1:15" ht="15" customHeight="1">
      <c r="A744" s="53"/>
      <c r="B744" s="54"/>
      <c r="C744" s="55"/>
      <c r="D744" s="55"/>
      <c r="E744" s="167">
        <f>SUM(E746:E747)</f>
        <v>19.325</v>
      </c>
      <c r="F744" s="98"/>
      <c r="G744" s="98"/>
      <c r="H744" s="98"/>
      <c r="I744" s="98"/>
      <c r="J744" s="98"/>
      <c r="K744" s="98"/>
      <c r="L744" s="98"/>
      <c r="M744" s="98"/>
      <c r="N744" s="98"/>
      <c r="O744" s="98"/>
    </row>
    <row r="745" spans="1:18" ht="15" customHeight="1">
      <c r="A745" s="260" t="s">
        <v>5</v>
      </c>
      <c r="B745" s="260"/>
      <c r="C745" s="56" t="s">
        <v>17</v>
      </c>
      <c r="D745" s="221" t="s">
        <v>18</v>
      </c>
      <c r="E745" s="39" t="s">
        <v>7</v>
      </c>
      <c r="F745" s="98"/>
      <c r="G745" s="93" t="str">
        <f>CONCATENATE("Misc. Iron Scrap, Lying at ",C746,". Quantity in MT - ")</f>
        <v>Misc. Iron Scrap, Lying at Pilot Workshop Mohali. Quantity in MT - </v>
      </c>
      <c r="H745" s="268" t="str">
        <f ca="1">CONCATENATE(G745,G746,(INDIRECT(I746)),(INDIRECT(J746)),(INDIRECT(K746)),(INDIRECT(L746)),(INDIRECT(M746)),(INDIRECT(N746)),(INDIRECT(O746)),(INDIRECT(P746)),(INDIRECT(Q746)),(INDIRECT(R746)),".")</f>
        <v>Misc. Iron Scrap, Lying at Pilot Workshop Mohali. Quantity in MT - HT Wire scrap &amp; other intermingled iron scrap - 14, MS iron scrap ( MS sections, scrapped T&amp;P etc) - 5.325, .</v>
      </c>
      <c r="I745" s="98" t="str">
        <f aca="true" ca="1" t="array" ref="I745">CELL("address",INDEX(G745:G763,MATCH(TRUE,ISBLANK(G745:G763),0)))</f>
        <v>$G$748</v>
      </c>
      <c r="J745" s="98">
        <f aca="true" t="array" ref="J745">MATCH(TRUE,ISBLANK(G745:G763),0)</f>
        <v>4</v>
      </c>
      <c r="K745" s="98">
        <f>J745-3</f>
        <v>1</v>
      </c>
      <c r="L745" s="98"/>
      <c r="M745" s="98"/>
      <c r="N745" s="98"/>
      <c r="O745" s="98"/>
      <c r="P745" s="98"/>
      <c r="Q745" s="98"/>
      <c r="R745" s="98"/>
    </row>
    <row r="746" spans="1:18" ht="15" customHeight="1">
      <c r="A746" s="260" t="s">
        <v>30</v>
      </c>
      <c r="B746" s="260"/>
      <c r="C746" s="261" t="s">
        <v>54</v>
      </c>
      <c r="D746" s="42" t="s">
        <v>55</v>
      </c>
      <c r="E746" s="69">
        <v>14</v>
      </c>
      <c r="G746" s="92" t="str">
        <f>CONCATENATE(D746," - ",E746,", ")</f>
        <v>HT Wire scrap &amp; other intermingled iron scrap - 14, </v>
      </c>
      <c r="H746" s="268"/>
      <c r="I746" s="98" t="str">
        <f ca="1">IF(J745&gt;=3,(MID(I745,2,1)&amp;MID(I745,4,3)-K745),CELL("address",Z746))</f>
        <v>G747</v>
      </c>
      <c r="J746" s="98" t="str">
        <f ca="1">IF(J745&gt;=4,(MID(I746,1,1)&amp;MID(I746,2,3)+1),CELL("address",AA746))</f>
        <v>G748</v>
      </c>
      <c r="K746" s="98" t="str">
        <f ca="1">IF(J745&gt;=5,(MID(J746,1,1)&amp;MID(J746,2,3)+1),CELL("address",AB746))</f>
        <v>$AB$746</v>
      </c>
      <c r="L746" s="98" t="str">
        <f ca="1">IF(J745&gt;=6,(MID(K746,1,1)&amp;MID(K746,2,3)+1),CELL("address",AC746))</f>
        <v>$AC$746</v>
      </c>
      <c r="M746" s="98" t="str">
        <f ca="1">IF(J745&gt;=7,(MID(L746,1,1)&amp;MID(L746,2,3)+1),CELL("address",AD746))</f>
        <v>$AD$746</v>
      </c>
      <c r="N746" s="98" t="str">
        <f ca="1">IF(J745&gt;=8,(MID(M746,1,1)&amp;MID(M746,2,3)+1),CELL("address",AE746))</f>
        <v>$AE$746</v>
      </c>
      <c r="O746" s="98" t="str">
        <f ca="1">IF(J745&gt;=9,(MID(N746,1,1)&amp;MID(N746,2,3)+1),CELL("address",AF746))</f>
        <v>$AF$746</v>
      </c>
      <c r="P746" s="98" t="str">
        <f ca="1">IF(J745&gt;=10,(MID(O746,1,1)&amp;MID(O746,2,3)+1),CELL("address",AG746))</f>
        <v>$AG$746</v>
      </c>
      <c r="Q746" s="98" t="str">
        <f ca="1">IF(J745&gt;=11,(MID(P746,1,1)&amp;MID(P746,2,3)+1),CELL("address",AH746))</f>
        <v>$AH$746</v>
      </c>
      <c r="R746" s="98" t="str">
        <f ca="1">IF(J745&gt;=12,(MID(Q746,1,1)&amp;MID(Q746,2,3)+1),CELL("address",AI746))</f>
        <v>$AI$746</v>
      </c>
    </row>
    <row r="747" spans="1:8" ht="15" customHeight="1">
      <c r="A747" s="260"/>
      <c r="B747" s="260"/>
      <c r="C747" s="261"/>
      <c r="D747" s="74" t="s">
        <v>56</v>
      </c>
      <c r="E747" s="69">
        <v>5.325</v>
      </c>
      <c r="G747" s="92" t="str">
        <f>CONCATENATE(D747," - ",E747,", ")</f>
        <v>MS iron scrap ( MS sections, scrapped T&amp;P etc) - 5.325, </v>
      </c>
      <c r="H747" s="1"/>
    </row>
    <row r="748" spans="1:15" ht="15" customHeight="1">
      <c r="A748" s="39"/>
      <c r="B748" s="41"/>
      <c r="C748" s="48"/>
      <c r="D748" s="38"/>
      <c r="E748" s="184"/>
      <c r="F748" s="98"/>
      <c r="G748" s="98"/>
      <c r="H748" s="98"/>
      <c r="I748" s="98"/>
      <c r="J748" s="98"/>
      <c r="K748" s="98"/>
      <c r="L748" s="98"/>
      <c r="M748" s="98"/>
      <c r="N748" s="98"/>
      <c r="O748" s="98"/>
    </row>
    <row r="749" spans="1:15" ht="15" customHeight="1">
      <c r="A749" s="53"/>
      <c r="B749" s="54"/>
      <c r="C749" s="54"/>
      <c r="D749" s="55"/>
      <c r="E749" s="164">
        <f>SUM(E751:E751)</f>
        <v>26687</v>
      </c>
      <c r="F749" s="98"/>
      <c r="G749" s="98"/>
      <c r="H749" s="98"/>
      <c r="I749" s="98" t="str">
        <f ca="1">IF(G748&gt;=6,(MID(H749,1,1)&amp;MID(H749,2,3)+1),CELL("address",Z749))</f>
        <v>$Z$749</v>
      </c>
      <c r="J749" s="98" t="str">
        <f ca="1">IF(G748&gt;=7,(MID(I749,1,1)&amp;MID(I749,2,3)+1),CELL("address",AA749))</f>
        <v>$AA$749</v>
      </c>
      <c r="K749" s="98" t="str">
        <f ca="1">IF(G748&gt;=8,(MID(J749,1,1)&amp;MID(J749,2,3)+1),CELL("address",AB749))</f>
        <v>$AB$749</v>
      </c>
      <c r="L749" s="98" t="str">
        <f ca="1">IF(G748&gt;=9,(MID(K749,1,1)&amp;MID(K749,2,3)+1),CELL("address",AC749))</f>
        <v>$AC$749</v>
      </c>
      <c r="M749" s="98" t="str">
        <f ca="1">IF(G748&gt;=10,(MID(L749,1,1)&amp;MID(L749,2,3)+1),CELL("address",AD749))</f>
        <v>$AD$749</v>
      </c>
      <c r="N749" s="98" t="str">
        <f ca="1">IF(G748&gt;=11,(MID(M749,1,1)&amp;MID(M749,2,3)+1),CELL("address",AE749))</f>
        <v>$AE$749</v>
      </c>
      <c r="O749" s="98" t="str">
        <f ca="1">IF(G748&gt;=12,(MID(N749,1,1)&amp;MID(N749,2,3)+1),CELL("address",AF749))</f>
        <v>$AF$749</v>
      </c>
    </row>
    <row r="750" spans="1:18" ht="15" customHeight="1">
      <c r="A750" s="260" t="s">
        <v>5</v>
      </c>
      <c r="B750" s="260"/>
      <c r="C750" s="40" t="s">
        <v>17</v>
      </c>
      <c r="D750" s="221" t="s">
        <v>18</v>
      </c>
      <c r="E750" s="39" t="s">
        <v>69</v>
      </c>
      <c r="G750" s="93" t="str">
        <f>CONCATENATE("Misc. Iron Scrap, Lying at ",C751,". Quantity in No - ")</f>
        <v>Misc. Iron Scrap, Lying at S &amp; T Store Bathinda. Quantity in No - </v>
      </c>
      <c r="H750" s="268" t="str">
        <f ca="1">CONCATENATE(G750,G751,(INDIRECT(I751)),(INDIRECT(J751)),(INDIRECT(K751)),(INDIRECT(L751)),(INDIRECT(M751)),(INDIRECT(N751)),(INDIRECT(O751)),(INDIRECT(P751)),(INDIRECT(Q751)),(INDIRECT(R751)),".")</f>
        <v>Misc. Iron Scrap, Lying at S &amp; T Store Bathinda. Quantity in No - Disc Insulator Scrap - 26687, .</v>
      </c>
      <c r="I750" s="98" t="str">
        <f aca="true" ca="1" t="array" ref="I750">CELL("address",INDEX(G750:G768,MATCH(TRUE,ISBLANK(G750:G768),0)))</f>
        <v>$G$752</v>
      </c>
      <c r="J750" s="98">
        <f aca="true" t="array" ref="J750">MATCH(TRUE,ISBLANK(G750:G768),0)</f>
        <v>3</v>
      </c>
      <c r="K750" s="98">
        <f>J750-3</f>
        <v>0</v>
      </c>
      <c r="L750" s="98"/>
      <c r="M750" s="98"/>
      <c r="N750" s="98"/>
      <c r="O750" s="98"/>
      <c r="P750" s="98"/>
      <c r="Q750" s="98"/>
      <c r="R750" s="98"/>
    </row>
    <row r="751" spans="1:18" ht="15" customHeight="1">
      <c r="A751" s="275" t="s">
        <v>33</v>
      </c>
      <c r="B751" s="276"/>
      <c r="C751" s="224" t="s">
        <v>57</v>
      </c>
      <c r="D751" s="40" t="s">
        <v>70</v>
      </c>
      <c r="E751" s="165">
        <v>26687</v>
      </c>
      <c r="G751" s="92" t="str">
        <f>CONCATENATE(D751," - ",E751,", ")</f>
        <v>Disc Insulator Scrap - 26687, </v>
      </c>
      <c r="H751" s="268"/>
      <c r="I751" s="98" t="str">
        <f ca="1">IF(J750&gt;=3,(MID(I750,2,1)&amp;MID(I750,4,3)-K750),CELL("address",Z751))</f>
        <v>G752</v>
      </c>
      <c r="J751" s="98" t="str">
        <f ca="1">IF(J750&gt;=4,(MID(I751,1,1)&amp;MID(I751,2,3)+1),CELL("address",AA751))</f>
        <v>$AA$751</v>
      </c>
      <c r="K751" s="98" t="str">
        <f ca="1">IF(J750&gt;=5,(MID(J751,1,1)&amp;MID(J751,2,3)+1),CELL("address",AB751))</f>
        <v>$AB$751</v>
      </c>
      <c r="L751" s="98" t="str">
        <f ca="1">IF(J750&gt;=6,(MID(K751,1,1)&amp;MID(K751,2,3)+1),CELL("address",AC751))</f>
        <v>$AC$751</v>
      </c>
      <c r="M751" s="98" t="str">
        <f ca="1">IF(J750&gt;=7,(MID(L751,1,1)&amp;MID(L751,2,3)+1),CELL("address",AD751))</f>
        <v>$AD$751</v>
      </c>
      <c r="N751" s="98" t="str">
        <f ca="1">IF(J750&gt;=8,(MID(M751,1,1)&amp;MID(M751,2,3)+1),CELL("address",AE751))</f>
        <v>$AE$751</v>
      </c>
      <c r="O751" s="98" t="str">
        <f ca="1">IF(J750&gt;=9,(MID(N751,1,1)&amp;MID(N751,2,3)+1),CELL("address",AF751))</f>
        <v>$AF$751</v>
      </c>
      <c r="P751" s="98" t="str">
        <f ca="1">IF(J750&gt;=10,(MID(O751,1,1)&amp;MID(O751,2,3)+1),CELL("address",AG751))</f>
        <v>$AG$751</v>
      </c>
      <c r="Q751" s="98" t="str">
        <f ca="1">IF(J750&gt;=11,(MID(P751,1,1)&amp;MID(P751,2,3)+1),CELL("address",AH751))</f>
        <v>$AH$751</v>
      </c>
      <c r="R751" s="98" t="str">
        <f ca="1">IF(J750&gt;=12,(MID(Q751,1,1)&amp;MID(Q751,2,3)+1),CELL("address",AI751))</f>
        <v>$AI$751</v>
      </c>
    </row>
    <row r="752" spans="1:8" ht="15" customHeight="1">
      <c r="A752" s="39"/>
      <c r="B752" s="42"/>
      <c r="C752" s="221"/>
      <c r="D752" s="40"/>
      <c r="E752" s="166"/>
      <c r="H752" s="1"/>
    </row>
    <row r="753" spans="1:15" ht="15" customHeight="1">
      <c r="A753" s="53"/>
      <c r="B753" s="54"/>
      <c r="C753" s="54"/>
      <c r="D753" s="55"/>
      <c r="E753" s="167">
        <f>SUM(E755:E756)</f>
        <v>186.886</v>
      </c>
      <c r="F753" s="98"/>
      <c r="G753" s="98"/>
      <c r="H753" s="98"/>
      <c r="I753" s="98"/>
      <c r="J753" s="98"/>
      <c r="K753" s="98"/>
      <c r="L753" s="98"/>
      <c r="M753" s="98"/>
      <c r="N753" s="98"/>
      <c r="O753" s="98"/>
    </row>
    <row r="754" spans="1:18" ht="15" customHeight="1">
      <c r="A754" s="260" t="s">
        <v>5</v>
      </c>
      <c r="B754" s="260"/>
      <c r="C754" s="40" t="s">
        <v>17</v>
      </c>
      <c r="D754" s="221" t="s">
        <v>18</v>
      </c>
      <c r="E754" s="39" t="s">
        <v>7</v>
      </c>
      <c r="F754" s="205"/>
      <c r="G754" s="93" t="str">
        <f>CONCATENATE("Misc. Iron Scrap, Lying at ",C755,". Quantity in MT - ")</f>
        <v>Misc. Iron Scrap, Lying at S &amp; T Store Bathinda. Quantity in MT - </v>
      </c>
      <c r="H754" s="268" t="str">
        <f ca="1">CONCATENATE(G754,G755,(INDIRECT(I755)),(INDIRECT(J755)),(INDIRECT(K755)),(INDIRECT(L755)),(INDIRECT(M755)),(INDIRECT(N755)),(INDIRECT(O755)),(INDIRECT(P755)),(INDIRECT(Q755)),(INDIRECT(R755)),".")</f>
        <v>Misc. Iron Scrap, Lying at S &amp; T Store Bathinda. Quantity in MT - MS Rail scrap - 181.996, Earthwire GSL scrap - 4.89, .</v>
      </c>
      <c r="I754" s="98" t="str">
        <f aca="true" ca="1" t="array" ref="I754">CELL("address",INDEX(G754:G772,MATCH(TRUE,ISBLANK(G754:G772),0)))</f>
        <v>$G$757</v>
      </c>
      <c r="J754" s="98">
        <f aca="true" t="array" ref="J754">MATCH(TRUE,ISBLANK(G754:G772),0)</f>
        <v>4</v>
      </c>
      <c r="K754" s="98">
        <f>J754-3</f>
        <v>1</v>
      </c>
      <c r="L754" s="98"/>
      <c r="M754" s="98"/>
      <c r="N754" s="98"/>
      <c r="O754" s="98"/>
      <c r="P754" s="98"/>
      <c r="Q754" s="98"/>
      <c r="R754" s="98"/>
    </row>
    <row r="755" spans="1:18" ht="15" customHeight="1">
      <c r="A755" s="260" t="s">
        <v>51</v>
      </c>
      <c r="B755" s="260"/>
      <c r="C755" s="261" t="s">
        <v>57</v>
      </c>
      <c r="D755" s="42" t="s">
        <v>61</v>
      </c>
      <c r="E755" s="69">
        <v>181.996</v>
      </c>
      <c r="F755" s="205"/>
      <c r="G755" s="92" t="str">
        <f>CONCATENATE(D755," - ",E755,", ")</f>
        <v>MS Rail scrap - 181.996, </v>
      </c>
      <c r="H755" s="268"/>
      <c r="I755" s="98" t="str">
        <f ca="1">IF(J754&gt;=3,(MID(I754,2,1)&amp;MID(I754,4,3)-K754),CELL("address",Z755))</f>
        <v>G756</v>
      </c>
      <c r="J755" s="98" t="str">
        <f ca="1">IF(J754&gt;=4,(MID(I755,1,1)&amp;MID(I755,2,3)+1),CELL("address",AA755))</f>
        <v>G757</v>
      </c>
      <c r="K755" s="98" t="str">
        <f ca="1">IF(J754&gt;=5,(MID(J755,1,1)&amp;MID(J755,2,3)+1),CELL("address",AB755))</f>
        <v>$AB$755</v>
      </c>
      <c r="L755" s="98" t="str">
        <f ca="1">IF(J754&gt;=6,(MID(K755,1,1)&amp;MID(K755,2,3)+1),CELL("address",AC755))</f>
        <v>$AC$755</v>
      </c>
      <c r="M755" s="98" t="str">
        <f ca="1">IF(J754&gt;=7,(MID(L755,1,1)&amp;MID(L755,2,3)+1),CELL("address",AD755))</f>
        <v>$AD$755</v>
      </c>
      <c r="N755" s="98" t="str">
        <f ca="1">IF(J754&gt;=8,(MID(M755,1,1)&amp;MID(M755,2,3)+1),CELL("address",AE755))</f>
        <v>$AE$755</v>
      </c>
      <c r="O755" s="98" t="str">
        <f ca="1">IF(J754&gt;=9,(MID(N755,1,1)&amp;MID(N755,2,3)+1),CELL("address",AF755))</f>
        <v>$AF$755</v>
      </c>
      <c r="P755" s="98" t="str">
        <f ca="1">IF(J754&gt;=10,(MID(O755,1,1)&amp;MID(O755,2,3)+1),CELL("address",AG755))</f>
        <v>$AG$755</v>
      </c>
      <c r="Q755" s="98" t="str">
        <f ca="1">IF(J754&gt;=11,(MID(P755,1,1)&amp;MID(P755,2,3)+1),CELL("address",AH755))</f>
        <v>$AH$755</v>
      </c>
      <c r="R755" s="98" t="str">
        <f ca="1">IF(J754&gt;=12,(MID(Q755,1,1)&amp;MID(Q755,2,3)+1),CELL("address",AI755))</f>
        <v>$AI$755</v>
      </c>
    </row>
    <row r="756" spans="1:15" ht="15" customHeight="1">
      <c r="A756" s="260"/>
      <c r="B756" s="260"/>
      <c r="C756" s="261"/>
      <c r="D756" s="42" t="s">
        <v>142</v>
      </c>
      <c r="E756" s="69">
        <v>4.89</v>
      </c>
      <c r="F756" s="98"/>
      <c r="G756" s="92" t="str">
        <f>CONCATENATE(D756," - ",E756,", ")</f>
        <v>Earthwire GSL scrap - 4.89, </v>
      </c>
      <c r="H756" s="98"/>
      <c r="I756" s="98"/>
      <c r="J756" s="98"/>
      <c r="K756" s="98"/>
      <c r="L756" s="98"/>
      <c r="M756" s="98"/>
      <c r="N756" s="98"/>
      <c r="O756" s="98"/>
    </row>
    <row r="757" spans="1:8" ht="15" customHeight="1">
      <c r="A757" s="39"/>
      <c r="B757" s="41"/>
      <c r="C757" s="48"/>
      <c r="D757" s="41"/>
      <c r="E757" s="58"/>
      <c r="F757" s="121"/>
      <c r="H757" s="1"/>
    </row>
    <row r="758" spans="1:8" ht="15" customHeight="1">
      <c r="A758" s="53"/>
      <c r="B758" s="54"/>
      <c r="C758" s="54"/>
      <c r="D758" s="56"/>
      <c r="E758" s="57">
        <f>SUM(E760:E762)</f>
        <v>3.0149999999999997</v>
      </c>
      <c r="F758" s="206"/>
      <c r="H758" s="1"/>
    </row>
    <row r="759" spans="1:18" ht="15" customHeight="1">
      <c r="A759" s="260" t="s">
        <v>5</v>
      </c>
      <c r="B759" s="260"/>
      <c r="C759" s="40" t="s">
        <v>17</v>
      </c>
      <c r="D759" s="221" t="s">
        <v>18</v>
      </c>
      <c r="E759" s="39" t="s">
        <v>7</v>
      </c>
      <c r="F759" s="98"/>
      <c r="G759" s="93" t="str">
        <f>CONCATENATE("Misc. Iron Scrap, Lying at ",C760,". Quantity in MT - ")</f>
        <v>Misc. Iron Scrap, Lying at CS Ferozepur. Quantity in MT - </v>
      </c>
      <c r="H759" s="268" t="str">
        <f ca="1">CONCATENATE(G759,G760,(INDIRECT(I760)),(INDIRECT(J760)),(INDIRECT(K760)),(INDIRECT(L760)),(INDIRECT(M760)),(INDIRECT(N760)),(INDIRECT(O760)),(INDIRECT(P760)),(INDIRECT(Q760)),(INDIRECT(R760)),".")</f>
        <v>Misc. Iron Scrap, Lying at CS Ferozepur. Quantity in MT - MS iron scrap - 2.649, Teen Patra scrap - 0.32, G.I. Scrap - 0.046, .</v>
      </c>
      <c r="I759" s="98" t="str">
        <f aca="true" ca="1" t="array" ref="I759">CELL("address",INDEX(G759:G777,MATCH(TRUE,ISBLANK(G759:G777),0)))</f>
        <v>$G$763</v>
      </c>
      <c r="J759" s="98">
        <f aca="true" t="array" ref="J759">MATCH(TRUE,ISBLANK(G759:G777),0)</f>
        <v>5</v>
      </c>
      <c r="K759" s="98">
        <f>J759-3</f>
        <v>2</v>
      </c>
      <c r="L759" s="98"/>
      <c r="M759" s="98"/>
      <c r="N759" s="98"/>
      <c r="O759" s="98"/>
      <c r="P759" s="98"/>
      <c r="Q759" s="98"/>
      <c r="R759" s="98"/>
    </row>
    <row r="760" spans="1:18" ht="15" customHeight="1">
      <c r="A760" s="260" t="s">
        <v>65</v>
      </c>
      <c r="B760" s="260"/>
      <c r="C760" s="261" t="s">
        <v>99</v>
      </c>
      <c r="D760" s="42" t="s">
        <v>29</v>
      </c>
      <c r="E760" s="58">
        <v>2.649</v>
      </c>
      <c r="F760" s="98"/>
      <c r="G760" s="92" t="str">
        <f>CONCATENATE(D760," - ",E760,", ")</f>
        <v>MS iron scrap - 2.649, </v>
      </c>
      <c r="H760" s="268"/>
      <c r="I760" s="98" t="str">
        <f ca="1">IF(J759&gt;=3,(MID(I759,2,1)&amp;MID(I759,4,3)-K759),CELL("address",Z760))</f>
        <v>G761</v>
      </c>
      <c r="J760" s="98" t="str">
        <f ca="1">IF(J759&gt;=4,(MID(I760,1,1)&amp;MID(I760,2,3)+1),CELL("address",AA760))</f>
        <v>G762</v>
      </c>
      <c r="K760" s="98" t="str">
        <f ca="1">IF(J759&gt;=5,(MID(J760,1,1)&amp;MID(J760,2,3)+1),CELL("address",AB760))</f>
        <v>G763</v>
      </c>
      <c r="L760" s="98" t="str">
        <f ca="1">IF(J759&gt;=6,(MID(K760,1,1)&amp;MID(K760,2,3)+1),CELL("address",AC760))</f>
        <v>$AC$760</v>
      </c>
      <c r="M760" s="98" t="str">
        <f ca="1">IF(J759&gt;=7,(MID(L760,1,1)&amp;MID(L760,2,3)+1),CELL("address",AD760))</f>
        <v>$AD$760</v>
      </c>
      <c r="N760" s="98" t="str">
        <f ca="1">IF(J759&gt;=8,(MID(M760,1,1)&amp;MID(M760,2,3)+1),CELL("address",AE760))</f>
        <v>$AE$760</v>
      </c>
      <c r="O760" s="98" t="str">
        <f ca="1">IF(J759&gt;=9,(MID(N760,1,1)&amp;MID(N760,2,3)+1),CELL("address",AF760))</f>
        <v>$AF$760</v>
      </c>
      <c r="P760" s="98" t="str">
        <f ca="1">IF(J759&gt;=10,(MID(O760,1,1)&amp;MID(O760,2,3)+1),CELL("address",AG760))</f>
        <v>$AG$760</v>
      </c>
      <c r="Q760" s="98" t="str">
        <f ca="1">IF(J759&gt;=11,(MID(P760,1,1)&amp;MID(P760,2,3)+1),CELL("address",AH760))</f>
        <v>$AH$760</v>
      </c>
      <c r="R760" s="98" t="str">
        <f ca="1">IF(J759&gt;=12,(MID(Q760,1,1)&amp;MID(Q760,2,3)+1),CELL("address",AI760))</f>
        <v>$AI$760</v>
      </c>
    </row>
    <row r="761" spans="1:21" ht="15" customHeight="1">
      <c r="A761" s="260"/>
      <c r="B761" s="260"/>
      <c r="C761" s="261"/>
      <c r="D761" s="81" t="s">
        <v>64</v>
      </c>
      <c r="E761" s="58">
        <v>0.32</v>
      </c>
      <c r="F761" s="98"/>
      <c r="G761" s="92" t="str">
        <f>CONCATENATE(D761," - ",E761,", ")</f>
        <v>Teen Patra scrap - 0.32, </v>
      </c>
      <c r="H761" s="98"/>
      <c r="I761" s="98"/>
      <c r="J761" s="98"/>
      <c r="K761" s="98"/>
      <c r="L761" s="98"/>
      <c r="M761" s="98"/>
      <c r="N761" s="98"/>
      <c r="O761" s="98"/>
      <c r="Q761" s="332"/>
      <c r="R761" s="332"/>
      <c r="S761" s="332"/>
      <c r="T761" s="332"/>
      <c r="U761" s="332"/>
    </row>
    <row r="762" spans="1:21" ht="15" customHeight="1">
      <c r="A762" s="260"/>
      <c r="B762" s="260"/>
      <c r="C762" s="261"/>
      <c r="D762" s="81" t="s">
        <v>198</v>
      </c>
      <c r="E762" s="58">
        <v>0.046</v>
      </c>
      <c r="G762" s="92" t="str">
        <f>CONCATENATE(D762," - ",E762,", ")</f>
        <v>G.I. Scrap - 0.046, </v>
      </c>
      <c r="H762" s="1"/>
      <c r="Q762" s="333"/>
      <c r="R762" s="333"/>
      <c r="S762" s="333"/>
      <c r="T762" s="333"/>
      <c r="U762" s="333"/>
    </row>
    <row r="763" spans="1:8" ht="15" customHeight="1">
      <c r="A763" s="39"/>
      <c r="B763" s="41"/>
      <c r="C763" s="48"/>
      <c r="D763" s="38"/>
      <c r="E763" s="184"/>
      <c r="H763" s="1"/>
    </row>
    <row r="764" spans="1:15" ht="15" customHeight="1">
      <c r="A764" s="265"/>
      <c r="B764" s="266"/>
      <c r="C764" s="40"/>
      <c r="D764" s="56"/>
      <c r="E764" s="57">
        <f>SUM(E766:E767)</f>
        <v>2.452</v>
      </c>
      <c r="F764" s="98"/>
      <c r="G764" s="98"/>
      <c r="H764" s="98"/>
      <c r="I764" s="98"/>
      <c r="J764" s="98"/>
      <c r="K764" s="98"/>
      <c r="L764" s="98"/>
      <c r="M764" s="98"/>
      <c r="N764" s="98"/>
      <c r="O764" s="98"/>
    </row>
    <row r="765" spans="1:18" ht="15" customHeight="1">
      <c r="A765" s="260" t="s">
        <v>5</v>
      </c>
      <c r="B765" s="260"/>
      <c r="C765" s="40" t="s">
        <v>17</v>
      </c>
      <c r="D765" s="221" t="s">
        <v>18</v>
      </c>
      <c r="E765" s="39" t="s">
        <v>7</v>
      </c>
      <c r="F765" s="98"/>
      <c r="G765" s="93" t="str">
        <f>CONCATENATE("Misc. Iron Scrap, Lying at ",C766,". Quantity in MT - ")</f>
        <v>Misc. Iron Scrap, Lying at OL Fazilka. Quantity in MT - </v>
      </c>
      <c r="H765" s="268" t="str">
        <f ca="1">CONCATENATE(G765,G766,(INDIRECT(I766)),(INDIRECT(J766)),(INDIRECT(K766)),(INDIRECT(L766)),(INDIRECT(M766)),(INDIRECT(N766)),(INDIRECT(O766)),(INDIRECT(P766)),(INDIRECT(Q766)),(INDIRECT(R766)),".")</f>
        <v>Misc. Iron Scrap, Lying at OL Fazilka. Quantity in MT - MS iron scrap - 2.282, Teen Patra scrap - 0.17, .</v>
      </c>
      <c r="I765" s="98" t="str">
        <f aca="true" ca="1" t="array" ref="I765">CELL("address",INDEX(G765:G783,MATCH(TRUE,ISBLANK(G765:G783),0)))</f>
        <v>$G$768</v>
      </c>
      <c r="J765" s="98">
        <f aca="true" t="array" ref="J765">MATCH(TRUE,ISBLANK(G765:G783),0)</f>
        <v>4</v>
      </c>
      <c r="K765" s="98">
        <f>J765-3</f>
        <v>1</v>
      </c>
      <c r="L765" s="98"/>
      <c r="M765" s="98"/>
      <c r="N765" s="98"/>
      <c r="O765" s="98"/>
      <c r="P765" s="98"/>
      <c r="Q765" s="98"/>
      <c r="R765" s="98"/>
    </row>
    <row r="766" spans="1:18" ht="15" customHeight="1">
      <c r="A766" s="275" t="s">
        <v>66</v>
      </c>
      <c r="B766" s="276"/>
      <c r="C766" s="277" t="s">
        <v>112</v>
      </c>
      <c r="D766" s="42" t="s">
        <v>29</v>
      </c>
      <c r="E766" s="58">
        <v>2.282</v>
      </c>
      <c r="G766" s="92" t="str">
        <f>CONCATENATE(D766," - ",E766,", ")</f>
        <v>MS iron scrap - 2.282, </v>
      </c>
      <c r="H766" s="268"/>
      <c r="I766" s="98" t="str">
        <f ca="1">IF(J765&gt;=3,(MID(I765,2,1)&amp;MID(I765,4,3)-K765),CELL("address",Z766))</f>
        <v>G767</v>
      </c>
      <c r="J766" s="98" t="str">
        <f ca="1">IF(J765&gt;=4,(MID(I766,1,1)&amp;MID(I766,2,3)+1),CELL("address",AA766))</f>
        <v>G768</v>
      </c>
      <c r="K766" s="98" t="str">
        <f ca="1">IF(J765&gt;=5,(MID(J766,1,1)&amp;MID(J766,2,3)+1),CELL("address",AB766))</f>
        <v>$AB$766</v>
      </c>
      <c r="L766" s="98" t="str">
        <f ca="1">IF(J765&gt;=6,(MID(K766,1,1)&amp;MID(K766,2,3)+1),CELL("address",AC766))</f>
        <v>$AC$766</v>
      </c>
      <c r="M766" s="98" t="str">
        <f ca="1">IF(J765&gt;=7,(MID(L766,1,1)&amp;MID(L766,2,3)+1),CELL("address",AD766))</f>
        <v>$AD$766</v>
      </c>
      <c r="N766" s="98" t="str">
        <f ca="1">IF(J765&gt;=8,(MID(M766,1,1)&amp;MID(M766,2,3)+1),CELL("address",AE766))</f>
        <v>$AE$766</v>
      </c>
      <c r="O766" s="98" t="str">
        <f ca="1">IF(J765&gt;=9,(MID(N766,1,1)&amp;MID(N766,2,3)+1),CELL("address",AF766))</f>
        <v>$AF$766</v>
      </c>
      <c r="P766" s="98" t="str">
        <f ca="1">IF(J765&gt;=10,(MID(O766,1,1)&amp;MID(O766,2,3)+1),CELL("address",AG766))</f>
        <v>$AG$766</v>
      </c>
      <c r="Q766" s="98" t="str">
        <f ca="1">IF(J765&gt;=11,(MID(P766,1,1)&amp;MID(P766,2,3)+1),CELL("address",AH766))</f>
        <v>$AH$766</v>
      </c>
      <c r="R766" s="98" t="str">
        <f ca="1">IF(J765&gt;=12,(MID(Q766,1,1)&amp;MID(Q766,2,3)+1),CELL("address",AI766))</f>
        <v>$AI$766</v>
      </c>
    </row>
    <row r="767" spans="1:8" ht="15" customHeight="1">
      <c r="A767" s="280"/>
      <c r="B767" s="281"/>
      <c r="C767" s="278"/>
      <c r="D767" s="81" t="s">
        <v>64</v>
      </c>
      <c r="E767" s="58">
        <v>0.17</v>
      </c>
      <c r="G767" s="92" t="str">
        <f>CONCATENATE(D767," - ",E767,", ")</f>
        <v>Teen Patra scrap - 0.17, </v>
      </c>
      <c r="H767" s="1"/>
    </row>
    <row r="768" spans="1:15" ht="15" customHeight="1">
      <c r="A768" s="262"/>
      <c r="B768" s="263"/>
      <c r="C768" s="221"/>
      <c r="D768" s="40"/>
      <c r="E768" s="58"/>
      <c r="F768" s="98"/>
      <c r="G768" s="98"/>
      <c r="H768" s="98"/>
      <c r="I768" s="98"/>
      <c r="J768" s="98"/>
      <c r="K768" s="98"/>
      <c r="L768" s="98"/>
      <c r="M768" s="98"/>
      <c r="N768" s="98"/>
      <c r="O768" s="98"/>
    </row>
    <row r="769" spans="1:15" ht="15" customHeight="1">
      <c r="A769" s="265"/>
      <c r="B769" s="266"/>
      <c r="C769" s="40"/>
      <c r="D769" s="56"/>
      <c r="E769" s="167">
        <f>SUM(E771:E771)</f>
        <v>100</v>
      </c>
      <c r="F769" s="98"/>
      <c r="G769" s="98"/>
      <c r="H769" s="98"/>
      <c r="I769" s="98" t="str">
        <f ca="1">IF(G768&gt;=6,(MID(H769,1,1)&amp;MID(H769,2,3)+1),CELL("address",Z769))</f>
        <v>$Z$769</v>
      </c>
      <c r="J769" s="98" t="str">
        <f ca="1">IF(G768&gt;=7,(MID(I769,1,1)&amp;MID(I769,2,3)+1),CELL("address",AA769))</f>
        <v>$AA$769</v>
      </c>
      <c r="K769" s="98" t="str">
        <f ca="1">IF(G768&gt;=8,(MID(J769,1,1)&amp;MID(J769,2,3)+1),CELL("address",AB769))</f>
        <v>$AB$769</v>
      </c>
      <c r="L769" s="98" t="str">
        <f ca="1">IF(G768&gt;=9,(MID(K769,1,1)&amp;MID(K769,2,3)+1),CELL("address",AC769))</f>
        <v>$AC$769</v>
      </c>
      <c r="M769" s="98" t="str">
        <f ca="1">IF(G768&gt;=10,(MID(L769,1,1)&amp;MID(L769,2,3)+1),CELL("address",AD769))</f>
        <v>$AD$769</v>
      </c>
      <c r="N769" s="98" t="str">
        <f ca="1">IF(G768&gt;=11,(MID(M769,1,1)&amp;MID(M769,2,3)+1),CELL("address",AE769))</f>
        <v>$AE$769</v>
      </c>
      <c r="O769" s="98" t="str">
        <f ca="1">IF(G768&gt;=12,(MID(N769,1,1)&amp;MID(N769,2,3)+1),CELL("address",AF769))</f>
        <v>$AF$769</v>
      </c>
    </row>
    <row r="770" spans="1:18" ht="15" customHeight="1">
      <c r="A770" s="260" t="s">
        <v>5</v>
      </c>
      <c r="B770" s="260"/>
      <c r="C770" s="40" t="s">
        <v>17</v>
      </c>
      <c r="D770" s="221" t="s">
        <v>18</v>
      </c>
      <c r="E770" s="39" t="s">
        <v>7</v>
      </c>
      <c r="G770" s="93" t="str">
        <f>CONCATENATE("Misc. Iron Scrap, Lying at ",C771,". Quantity in MT - ")</f>
        <v>Misc. Iron Scrap, Lying at S &amp; T Store Bathinda. Quantity in MT - </v>
      </c>
      <c r="H770" s="268" t="str">
        <f ca="1">CONCATENATE(G770,G771,(INDIRECT(I771)),(INDIRECT(J771)),(INDIRECT(K771)),(INDIRECT(L771)),(INDIRECT(M771)),(INDIRECT(N771)),(INDIRECT(O771)),(INDIRECT(P771)),(INDIRECT(Q771)),(INDIRECT(R771)),".")</f>
        <v>Misc. Iron Scrap, Lying at S &amp; T Store Bathinda. Quantity in MT - MS Rail scrap - 100, .</v>
      </c>
      <c r="I770" s="98" t="str">
        <f aca="true" ca="1" t="array" ref="I770">CELL("address",INDEX(G770:G789,MATCH(TRUE,ISBLANK(G770:G789),0)))</f>
        <v>$G$772</v>
      </c>
      <c r="J770" s="98">
        <f aca="true" t="array" ref="J770">MATCH(TRUE,ISBLANK(G770:G789),0)</f>
        <v>3</v>
      </c>
      <c r="K770" s="98">
        <f>J770-3</f>
        <v>0</v>
      </c>
      <c r="L770" s="98"/>
      <c r="M770" s="98"/>
      <c r="N770" s="98"/>
      <c r="O770" s="98"/>
      <c r="P770" s="98"/>
      <c r="Q770" s="98"/>
      <c r="R770" s="98"/>
    </row>
    <row r="771" spans="1:18" ht="15" customHeight="1">
      <c r="A771" s="260" t="s">
        <v>67</v>
      </c>
      <c r="B771" s="260"/>
      <c r="C771" s="221" t="s">
        <v>57</v>
      </c>
      <c r="D771" s="40" t="s">
        <v>61</v>
      </c>
      <c r="E771" s="69">
        <v>100</v>
      </c>
      <c r="G771" s="92" t="str">
        <f>CONCATENATE(D771," - ",E771,", ")</f>
        <v>MS Rail scrap - 100, </v>
      </c>
      <c r="H771" s="268"/>
      <c r="I771" s="98" t="str">
        <f ca="1">IF(J770&gt;=3,(MID(I770,2,1)&amp;MID(I770,4,3)-K770),CELL("address",Z771))</f>
        <v>G772</v>
      </c>
      <c r="J771" s="98" t="str">
        <f ca="1">IF(J770&gt;=4,(MID(I771,1,1)&amp;MID(I771,2,3)+1),CELL("address",AA771))</f>
        <v>$AA$771</v>
      </c>
      <c r="K771" s="98" t="str">
        <f ca="1">IF(J770&gt;=5,(MID(J771,1,1)&amp;MID(J771,2,3)+1),CELL("address",AB771))</f>
        <v>$AB$771</v>
      </c>
      <c r="L771" s="98" t="str">
        <f ca="1">IF(J770&gt;=6,(MID(K771,1,1)&amp;MID(K771,2,3)+1),CELL("address",AC771))</f>
        <v>$AC$771</v>
      </c>
      <c r="M771" s="98" t="str">
        <f ca="1">IF(J770&gt;=7,(MID(L771,1,1)&amp;MID(L771,2,3)+1),CELL("address",AD771))</f>
        <v>$AD$771</v>
      </c>
      <c r="N771" s="98" t="str">
        <f ca="1">IF(J770&gt;=8,(MID(M771,1,1)&amp;MID(M771,2,3)+1),CELL("address",AE771))</f>
        <v>$AE$771</v>
      </c>
      <c r="O771" s="98" t="str">
        <f ca="1">IF(J770&gt;=9,(MID(N771,1,1)&amp;MID(N771,2,3)+1),CELL("address",AF771))</f>
        <v>$AF$771</v>
      </c>
      <c r="P771" s="98" t="str">
        <f ca="1">IF(J770&gt;=10,(MID(O771,1,1)&amp;MID(O771,2,3)+1),CELL("address",AG771))</f>
        <v>$AG$771</v>
      </c>
      <c r="Q771" s="98" t="str">
        <f ca="1">IF(J770&gt;=11,(MID(P771,1,1)&amp;MID(P771,2,3)+1),CELL("address",AH771))</f>
        <v>$AH$771</v>
      </c>
      <c r="R771" s="98" t="str">
        <f ca="1">IF(J770&gt;=12,(MID(Q771,1,1)&amp;MID(Q771,2,3)+1),CELL("address",AI771))</f>
        <v>$AI$771</v>
      </c>
    </row>
    <row r="772" spans="1:8" ht="15" customHeight="1">
      <c r="A772" s="39"/>
      <c r="B772" s="41"/>
      <c r="C772" s="48"/>
      <c r="D772" s="41"/>
      <c r="E772" s="58"/>
      <c r="H772" s="1"/>
    </row>
    <row r="773" spans="1:8" ht="15" customHeight="1">
      <c r="A773" s="53"/>
      <c r="B773" s="54"/>
      <c r="C773" s="54"/>
      <c r="D773" s="56"/>
      <c r="E773" s="57">
        <f>SUM(E775:E780)</f>
        <v>9.852</v>
      </c>
      <c r="H773" s="1"/>
    </row>
    <row r="774" spans="1:18" ht="15" customHeight="1">
      <c r="A774" s="260" t="s">
        <v>5</v>
      </c>
      <c r="B774" s="260"/>
      <c r="C774" s="40" t="s">
        <v>17</v>
      </c>
      <c r="D774" s="221" t="s">
        <v>18</v>
      </c>
      <c r="E774" s="39" t="s">
        <v>7</v>
      </c>
      <c r="G774" s="93" t="str">
        <f>CONCATENATE("Misc. Iron Scrap, Lying at ",C775,". Quantity in MT - ")</f>
        <v>Misc. Iron Scrap, Lying at CS Kotkapura. Quantity in MT - </v>
      </c>
      <c r="H774" s="268" t="str">
        <f ca="1">CONCATENATE(G774,G775,(INDIRECT(I775)),(INDIRECT(J775)),(INDIRECT(K775)),(INDIRECT(L775)),(INDIRECT(M775)),(INDIRECT(N775)),(INDIRECT(O775)),(INDIRECT(P775)),(INDIRECT(Q775)),(INDIRECT(R775)),".")</f>
        <v>Misc. Iron Scrap, Lying at CS Kotkapura. Quantity in MT - MS iron scrap - 4.418, Transformer body scrap - 3.835, Teen Patra scrap - 1.149, G.I. Scrap - 0.105, M.S. Nuts &amp; Bolts Scrap - 0.02, Tubular Poles scrap - 0.325, .</v>
      </c>
      <c r="I774" s="98" t="str">
        <f aca="true" ca="1" t="array" ref="I774">CELL("address",INDEX(G774:G793,MATCH(TRUE,ISBLANK(G774:G793),0)))</f>
        <v>$G$781</v>
      </c>
      <c r="J774" s="98">
        <f aca="true" t="array" ref="J774">MATCH(TRUE,ISBLANK(G774:G793),0)</f>
        <v>8</v>
      </c>
      <c r="K774" s="98">
        <f>J774-3</f>
        <v>5</v>
      </c>
      <c r="L774" s="98"/>
      <c r="M774" s="98"/>
      <c r="N774" s="98"/>
      <c r="O774" s="98"/>
      <c r="P774" s="98"/>
      <c r="Q774" s="98"/>
      <c r="R774" s="98"/>
    </row>
    <row r="775" spans="1:18" ht="15" customHeight="1">
      <c r="A775" s="260" t="s">
        <v>68</v>
      </c>
      <c r="B775" s="260"/>
      <c r="C775" s="261" t="s">
        <v>43</v>
      </c>
      <c r="D775" s="42" t="s">
        <v>29</v>
      </c>
      <c r="E775" s="58">
        <v>4.418</v>
      </c>
      <c r="G775" s="92" t="str">
        <f aca="true" t="shared" si="3" ref="G775:G780">CONCATENATE(D775," - ",E775,", ")</f>
        <v>MS iron scrap - 4.418, </v>
      </c>
      <c r="H775" s="268"/>
      <c r="I775" s="98" t="str">
        <f ca="1">IF(J774&gt;=3,(MID(I774,2,1)&amp;MID(I774,4,3)-K774),CELL("address",Z775))</f>
        <v>G776</v>
      </c>
      <c r="J775" s="98" t="str">
        <f ca="1">IF(J774&gt;=4,(MID(I775,1,1)&amp;MID(I775,2,3)+1),CELL("address",AA775))</f>
        <v>G777</v>
      </c>
      <c r="K775" s="98" t="str">
        <f ca="1">IF(J774&gt;=5,(MID(J775,1,1)&amp;MID(J775,2,3)+1),CELL("address",AB775))</f>
        <v>G778</v>
      </c>
      <c r="L775" s="98" t="str">
        <f ca="1">IF(J774&gt;=6,(MID(K775,1,1)&amp;MID(K775,2,3)+1),CELL("address",AC775))</f>
        <v>G779</v>
      </c>
      <c r="M775" s="98" t="str">
        <f ca="1">IF(J774&gt;=7,(MID(L775,1,1)&amp;MID(L775,2,3)+1),CELL("address",AD775))</f>
        <v>G780</v>
      </c>
      <c r="N775" s="98" t="str">
        <f ca="1">IF(J774&gt;=8,(MID(M775,1,1)&amp;MID(M775,2,3)+1),CELL("address",AE775))</f>
        <v>G781</v>
      </c>
      <c r="O775" s="98" t="str">
        <f ca="1">IF(J774&gt;=9,(MID(N775,1,1)&amp;MID(N775,2,3)+1),CELL("address",AF775))</f>
        <v>$AF$775</v>
      </c>
      <c r="P775" s="98" t="str">
        <f ca="1">IF(J774&gt;=10,(MID(O775,1,1)&amp;MID(O775,2,3)+1),CELL("address",AG775))</f>
        <v>$AG$775</v>
      </c>
      <c r="Q775" s="98" t="str">
        <f ca="1">IF(J774&gt;=11,(MID(P775,1,1)&amp;MID(P775,2,3)+1),CELL("address",AH775))</f>
        <v>$AH$775</v>
      </c>
      <c r="R775" s="98" t="str">
        <f ca="1">IF(J774&gt;=12,(MID(Q775,1,1)&amp;MID(Q775,2,3)+1),CELL("address",AI775))</f>
        <v>$AI$775</v>
      </c>
    </row>
    <row r="776" spans="1:8" ht="15" customHeight="1">
      <c r="A776" s="260"/>
      <c r="B776" s="260"/>
      <c r="C776" s="261"/>
      <c r="D776" s="81" t="s">
        <v>60</v>
      </c>
      <c r="E776" s="58">
        <v>3.835</v>
      </c>
      <c r="G776" s="92" t="str">
        <f t="shared" si="3"/>
        <v>Transformer body scrap - 3.835, </v>
      </c>
      <c r="H776" s="1"/>
    </row>
    <row r="777" spans="1:15" ht="15" customHeight="1">
      <c r="A777" s="260"/>
      <c r="B777" s="260"/>
      <c r="C777" s="261"/>
      <c r="D777" s="81" t="s">
        <v>64</v>
      </c>
      <c r="E777" s="58">
        <v>1.149</v>
      </c>
      <c r="F777" s="98"/>
      <c r="G777" s="92" t="str">
        <f t="shared" si="3"/>
        <v>Teen Patra scrap - 1.149, </v>
      </c>
      <c r="H777" s="98"/>
      <c r="I777" s="98"/>
      <c r="J777" s="98"/>
      <c r="K777" s="98"/>
      <c r="L777" s="98"/>
      <c r="M777" s="98"/>
      <c r="N777" s="98"/>
      <c r="O777" s="98"/>
    </row>
    <row r="778" spans="1:15" ht="15" customHeight="1">
      <c r="A778" s="260"/>
      <c r="B778" s="260"/>
      <c r="C778" s="261"/>
      <c r="D778" s="81" t="s">
        <v>198</v>
      </c>
      <c r="E778" s="58">
        <v>0.105</v>
      </c>
      <c r="F778" s="98"/>
      <c r="G778" s="92" t="str">
        <f t="shared" si="3"/>
        <v>G.I. Scrap - 0.105, </v>
      </c>
      <c r="H778" s="98"/>
      <c r="I778" s="98" t="e">
        <f ca="1">IF(G777&gt;=6,(MID(H778,1,1)&amp;MID(H778,2,3)+1),CELL("address",Z778))</f>
        <v>#VALUE!</v>
      </c>
      <c r="J778" s="98" t="e">
        <f ca="1">IF(G777&gt;=7,(MID(I778,1,1)&amp;MID(I778,2,3)+1),CELL("address",AA778))</f>
        <v>#VALUE!</v>
      </c>
      <c r="K778" s="98" t="e">
        <f ca="1">IF(G777&gt;=8,(MID(J778,1,1)&amp;MID(J778,2,3)+1),CELL("address",AB778))</f>
        <v>#VALUE!</v>
      </c>
      <c r="L778" s="98" t="e">
        <f ca="1">IF(G777&gt;=9,(MID(K778,1,1)&amp;MID(K778,2,3)+1),CELL("address",AC778))</f>
        <v>#VALUE!</v>
      </c>
      <c r="M778" s="98" t="e">
        <f ca="1">IF(G777&gt;=10,(MID(L778,1,1)&amp;MID(L778,2,3)+1),CELL("address",AD778))</f>
        <v>#VALUE!</v>
      </c>
      <c r="N778" s="98" t="e">
        <f ca="1">IF(G777&gt;=11,(MID(M778,1,1)&amp;MID(M778,2,3)+1),CELL("address",AE778))</f>
        <v>#VALUE!</v>
      </c>
      <c r="O778" s="98" t="e">
        <f ca="1">IF(G777&gt;=12,(MID(N778,1,1)&amp;MID(N778,2,3)+1),CELL("address",AF778))</f>
        <v>#VALUE!</v>
      </c>
    </row>
    <row r="779" spans="1:8" ht="15" customHeight="1">
      <c r="A779" s="260"/>
      <c r="B779" s="260"/>
      <c r="C779" s="261"/>
      <c r="D779" s="81" t="s">
        <v>199</v>
      </c>
      <c r="E779" s="58">
        <v>0.02</v>
      </c>
      <c r="G779" s="92" t="str">
        <f t="shared" si="3"/>
        <v>M.S. Nuts &amp; Bolts Scrap - 0.02, </v>
      </c>
      <c r="H779" s="1"/>
    </row>
    <row r="780" spans="1:8" ht="15" customHeight="1">
      <c r="A780" s="260"/>
      <c r="B780" s="260"/>
      <c r="C780" s="261"/>
      <c r="D780" s="42" t="s">
        <v>450</v>
      </c>
      <c r="E780" s="58">
        <v>0.325</v>
      </c>
      <c r="G780" s="92" t="str">
        <f t="shared" si="3"/>
        <v>Tubular Poles scrap - 0.325, </v>
      </c>
      <c r="H780" s="1"/>
    </row>
    <row r="781" spans="1:8" ht="15" customHeight="1">
      <c r="A781" s="39"/>
      <c r="B781" s="41"/>
      <c r="C781" s="48"/>
      <c r="D781" s="233"/>
      <c r="E781" s="184"/>
      <c r="H781" s="1"/>
    </row>
    <row r="782" spans="1:15" ht="15" customHeight="1">
      <c r="A782" s="53"/>
      <c r="B782" s="54"/>
      <c r="C782" s="54"/>
      <c r="D782" s="56"/>
      <c r="E782" s="57">
        <f>SUM(E784:E786)</f>
        <v>6.174</v>
      </c>
      <c r="F782" s="98"/>
      <c r="G782" s="98"/>
      <c r="H782" s="98"/>
      <c r="I782" s="98"/>
      <c r="J782" s="98"/>
      <c r="K782" s="98"/>
      <c r="L782" s="98"/>
      <c r="M782" s="98"/>
      <c r="N782" s="98"/>
      <c r="O782" s="98"/>
    </row>
    <row r="783" spans="1:18" ht="15" customHeight="1">
      <c r="A783" s="279" t="s">
        <v>5</v>
      </c>
      <c r="B783" s="279"/>
      <c r="C783" s="70" t="s">
        <v>17</v>
      </c>
      <c r="D783" s="221" t="s">
        <v>18</v>
      </c>
      <c r="E783" s="39" t="s">
        <v>7</v>
      </c>
      <c r="F783" s="98"/>
      <c r="G783" s="93" t="str">
        <f>CONCATENATE("Misc. Iron Scrap, Lying at ",C784,". Quantity in MT - ")</f>
        <v>Misc. Iron Scrap, Lying at OL Bhagta Bhai Ka. Quantity in MT - </v>
      </c>
      <c r="H783" s="268" t="str">
        <f ca="1">CONCATENATE(G783,G784,(INDIRECT(I784)),(INDIRECT(J784)),(INDIRECT(K784)),(INDIRECT(L784)),(INDIRECT(M784)),(INDIRECT(N784)),(INDIRECT(O784)),(INDIRECT(P784)),(INDIRECT(Q784)),(INDIRECT(R784)),".")</f>
        <v>Misc. Iron Scrap, Lying at OL Bhagta Bhai Ka. Quantity in MT - MS iron scrap - 0.884, Transformer body scrap - 5.258, Teen Patra scrap - 0.032, .</v>
      </c>
      <c r="I783" s="98" t="str">
        <f aca="true" ca="1" t="array" ref="I783">CELL("address",INDEX(G783:G802,MATCH(TRUE,ISBLANK(G783:G802),0)))</f>
        <v>$G$787</v>
      </c>
      <c r="J783" s="98">
        <f aca="true" t="array" ref="J783">MATCH(TRUE,ISBLANK(G783:G802),0)</f>
        <v>5</v>
      </c>
      <c r="K783" s="98">
        <f>J783-3</f>
        <v>2</v>
      </c>
      <c r="L783" s="98"/>
      <c r="M783" s="98"/>
      <c r="N783" s="98"/>
      <c r="O783" s="98"/>
      <c r="P783" s="98"/>
      <c r="Q783" s="98"/>
      <c r="R783" s="98"/>
    </row>
    <row r="784" spans="1:18" ht="15" customHeight="1">
      <c r="A784" s="260" t="s">
        <v>175</v>
      </c>
      <c r="B784" s="260"/>
      <c r="C784" s="261" t="s">
        <v>100</v>
      </c>
      <c r="D784" s="42" t="s">
        <v>29</v>
      </c>
      <c r="E784" s="69">
        <v>0.884</v>
      </c>
      <c r="G784" s="92" t="str">
        <f>CONCATENATE(D784," - ",E784,", ")</f>
        <v>MS iron scrap - 0.884, </v>
      </c>
      <c r="H784" s="268"/>
      <c r="I784" s="98" t="str">
        <f ca="1">IF(J783&gt;=3,(MID(I783,2,1)&amp;MID(I783,4,3)-K783),CELL("address",Z784))</f>
        <v>G785</v>
      </c>
      <c r="J784" s="98" t="str">
        <f ca="1">IF(J783&gt;=4,(MID(I784,1,1)&amp;MID(I784,2,3)+1),CELL("address",AA784))</f>
        <v>G786</v>
      </c>
      <c r="K784" s="98" t="str">
        <f ca="1">IF(J783&gt;=5,(MID(J784,1,1)&amp;MID(J784,2,3)+1),CELL("address",AB784))</f>
        <v>G787</v>
      </c>
      <c r="L784" s="98" t="str">
        <f ca="1">IF(J783&gt;=6,(MID(K784,1,1)&amp;MID(K784,2,3)+1),CELL("address",AC784))</f>
        <v>$AC$784</v>
      </c>
      <c r="M784" s="98" t="str">
        <f ca="1">IF(J783&gt;=7,(MID(L784,1,1)&amp;MID(L784,2,3)+1),CELL("address",AD784))</f>
        <v>$AD$784</v>
      </c>
      <c r="N784" s="98" t="str">
        <f ca="1">IF(J783&gt;=8,(MID(M784,1,1)&amp;MID(M784,2,3)+1),CELL("address",AE784))</f>
        <v>$AE$784</v>
      </c>
      <c r="O784" s="98" t="str">
        <f ca="1">IF(J783&gt;=9,(MID(N784,1,1)&amp;MID(N784,2,3)+1),CELL("address",AF784))</f>
        <v>$AF$784</v>
      </c>
      <c r="P784" s="98" t="str">
        <f ca="1">IF(J783&gt;=10,(MID(O784,1,1)&amp;MID(O784,2,3)+1),CELL("address",AG784))</f>
        <v>$AG$784</v>
      </c>
      <c r="Q784" s="98" t="str">
        <f ca="1">IF(J783&gt;=11,(MID(P784,1,1)&amp;MID(P784,2,3)+1),CELL("address",AH784))</f>
        <v>$AH$784</v>
      </c>
      <c r="R784" s="98" t="str">
        <f ca="1">IF(J783&gt;=12,(MID(Q784,1,1)&amp;MID(Q784,2,3)+1),CELL("address",AI784))</f>
        <v>$AI$784</v>
      </c>
    </row>
    <row r="785" spans="1:8" ht="15" customHeight="1">
      <c r="A785" s="260"/>
      <c r="B785" s="260"/>
      <c r="C785" s="261"/>
      <c r="D785" s="81" t="s">
        <v>60</v>
      </c>
      <c r="E785" s="69">
        <v>5.258</v>
      </c>
      <c r="G785" s="92" t="str">
        <f>CONCATENATE(D785," - ",E785,", ")</f>
        <v>Transformer body scrap - 5.258, </v>
      </c>
      <c r="H785" s="1"/>
    </row>
    <row r="786" spans="1:8" ht="15" customHeight="1">
      <c r="A786" s="260"/>
      <c r="B786" s="260"/>
      <c r="C786" s="261"/>
      <c r="D786" s="81" t="s">
        <v>64</v>
      </c>
      <c r="E786" s="58">
        <v>0.032</v>
      </c>
      <c r="G786" s="92" t="str">
        <f>CONCATENATE(D786," - ",E786,", ")</f>
        <v>Teen Patra scrap - 0.032, </v>
      </c>
      <c r="H786" s="1"/>
    </row>
    <row r="787" spans="1:8" ht="15" customHeight="1">
      <c r="A787" s="39"/>
      <c r="B787" s="41"/>
      <c r="C787" s="48"/>
      <c r="D787" s="233"/>
      <c r="E787" s="184"/>
      <c r="H787" s="1"/>
    </row>
    <row r="788" spans="1:8" ht="15" customHeight="1">
      <c r="A788" s="53"/>
      <c r="B788" s="54"/>
      <c r="C788" s="54"/>
      <c r="D788" s="56"/>
      <c r="E788" s="57">
        <f>SUM(E790:E792)</f>
        <v>3.256</v>
      </c>
      <c r="H788" s="1"/>
    </row>
    <row r="789" spans="1:18" ht="15" customHeight="1">
      <c r="A789" s="279" t="s">
        <v>5</v>
      </c>
      <c r="B789" s="279"/>
      <c r="C789" s="70" t="s">
        <v>17</v>
      </c>
      <c r="D789" s="221" t="s">
        <v>18</v>
      </c>
      <c r="E789" s="39" t="s">
        <v>7</v>
      </c>
      <c r="F789" s="98"/>
      <c r="G789" s="93" t="str">
        <f>CONCATENATE("Misc. Iron Scrap, Lying at ",C790,". Quantity in MT - ")</f>
        <v>Misc. Iron Scrap, Lying at OL Shri Mukfsar Sahib. Quantity in MT - </v>
      </c>
      <c r="H789" s="268" t="str">
        <f ca="1">CONCATENATE(G789,G790,(INDIRECT(I790)),(INDIRECT(J790)),(INDIRECT(K790)),(INDIRECT(L790)),(INDIRECT(M790)),(INDIRECT(N790)),(INDIRECT(O790)),(INDIRECT(P790)),(INDIRECT(Q790)),(INDIRECT(R790)),".")</f>
        <v>Misc. Iron Scrap, Lying at OL Shri Mukfsar Sahib. Quantity in MT - MS iron scrap - 0.764, Transformer body scrap - 2.302, G.I. scrap - 0.19, .</v>
      </c>
      <c r="I789" s="98" t="str">
        <f aca="true" ca="1" t="array" ref="I789">CELL("address",INDEX(G789:G806,MATCH(TRUE,ISBLANK(G789:G806),0)))</f>
        <v>$G$793</v>
      </c>
      <c r="J789" s="98">
        <f aca="true" t="array" ref="J789">MATCH(TRUE,ISBLANK(G789:G806),0)</f>
        <v>5</v>
      </c>
      <c r="K789" s="98">
        <f>J789-3</f>
        <v>2</v>
      </c>
      <c r="L789" s="98"/>
      <c r="M789" s="98"/>
      <c r="N789" s="98"/>
      <c r="O789" s="98"/>
      <c r="P789" s="98"/>
      <c r="Q789" s="98"/>
      <c r="R789" s="98"/>
    </row>
    <row r="790" spans="1:18" ht="15" customHeight="1">
      <c r="A790" s="260" t="s">
        <v>119</v>
      </c>
      <c r="B790" s="260"/>
      <c r="C790" s="261" t="s">
        <v>325</v>
      </c>
      <c r="D790" s="42" t="s">
        <v>29</v>
      </c>
      <c r="E790" s="69">
        <v>0.764</v>
      </c>
      <c r="F790" s="98"/>
      <c r="G790" s="92" t="str">
        <f>CONCATENATE(D790," - ",E790,", ")</f>
        <v>MS iron scrap - 0.764, </v>
      </c>
      <c r="H790" s="268"/>
      <c r="I790" s="98" t="str">
        <f ca="1">IF(J789&gt;=3,(MID(I789,2,1)&amp;MID(I789,4,3)-K789),CELL("address",Z790))</f>
        <v>G791</v>
      </c>
      <c r="J790" s="98" t="str">
        <f ca="1">IF(J789&gt;=4,(MID(I790,1,1)&amp;MID(I790,2,3)+1),CELL("address",AA790))</f>
        <v>G792</v>
      </c>
      <c r="K790" s="98" t="str">
        <f ca="1">IF(J789&gt;=5,(MID(J790,1,1)&amp;MID(J790,2,3)+1),CELL("address",AB790))</f>
        <v>G793</v>
      </c>
      <c r="L790" s="98" t="str">
        <f ca="1">IF(J789&gt;=6,(MID(K790,1,1)&amp;MID(K790,2,3)+1),CELL("address",AC790))</f>
        <v>$AC$790</v>
      </c>
      <c r="M790" s="98" t="str">
        <f ca="1">IF(J789&gt;=7,(MID(L790,1,1)&amp;MID(L790,2,3)+1),CELL("address",AD790))</f>
        <v>$AD$790</v>
      </c>
      <c r="N790" s="98" t="str">
        <f ca="1">IF(J789&gt;=8,(MID(M790,1,1)&amp;MID(M790,2,3)+1),CELL("address",AE790))</f>
        <v>$AE$790</v>
      </c>
      <c r="O790" s="98" t="str">
        <f ca="1">IF(J789&gt;=9,(MID(N790,1,1)&amp;MID(N790,2,3)+1),CELL("address",AF790))</f>
        <v>$AF$790</v>
      </c>
      <c r="P790" s="98" t="str">
        <f ca="1">IF(J789&gt;=10,(MID(O790,1,1)&amp;MID(O790,2,3)+1),CELL("address",AG790))</f>
        <v>$AG$790</v>
      </c>
      <c r="Q790" s="98" t="str">
        <f ca="1">IF(J789&gt;=11,(MID(P790,1,1)&amp;MID(P790,2,3)+1),CELL("address",AH790))</f>
        <v>$AH$790</v>
      </c>
      <c r="R790" s="98" t="str">
        <f ca="1">IF(J789&gt;=12,(MID(Q790,1,1)&amp;MID(Q790,2,3)+1),CELL("address",AI790))</f>
        <v>$AI$790</v>
      </c>
    </row>
    <row r="791" spans="1:15" ht="15" customHeight="1">
      <c r="A791" s="260"/>
      <c r="B791" s="260"/>
      <c r="C791" s="261"/>
      <c r="D791" s="81" t="s">
        <v>60</v>
      </c>
      <c r="E791" s="69">
        <v>2.302</v>
      </c>
      <c r="F791" s="98"/>
      <c r="G791" s="92" t="str">
        <f>CONCATENATE(D791," - ",E791,", ")</f>
        <v>Transformer body scrap - 2.302, </v>
      </c>
      <c r="H791" s="98"/>
      <c r="I791" s="98"/>
      <c r="J791" s="98"/>
      <c r="K791" s="98"/>
      <c r="L791" s="98"/>
      <c r="M791" s="98"/>
      <c r="N791" s="98"/>
      <c r="O791" s="98"/>
    </row>
    <row r="792" spans="1:15" ht="15" customHeight="1">
      <c r="A792" s="260"/>
      <c r="B792" s="260"/>
      <c r="C792" s="261"/>
      <c r="D792" s="81" t="s">
        <v>193</v>
      </c>
      <c r="E792" s="58">
        <v>0.19</v>
      </c>
      <c r="F792" s="98"/>
      <c r="G792" s="92" t="str">
        <f>CONCATENATE(D792," - ",E792,", ")</f>
        <v>G.I. scrap - 0.19, </v>
      </c>
      <c r="H792" s="98"/>
      <c r="I792" s="98"/>
      <c r="J792" s="98"/>
      <c r="K792" s="98"/>
      <c r="L792" s="98"/>
      <c r="M792" s="98"/>
      <c r="N792" s="98"/>
      <c r="O792" s="98"/>
    </row>
    <row r="793" spans="1:15" ht="15" customHeight="1">
      <c r="A793" s="39"/>
      <c r="B793" s="41"/>
      <c r="C793" s="48"/>
      <c r="D793" s="233"/>
      <c r="E793" s="184"/>
      <c r="F793" s="98"/>
      <c r="G793" s="98"/>
      <c r="H793" s="98"/>
      <c r="I793" s="98"/>
      <c r="J793" s="98"/>
      <c r="K793" s="98"/>
      <c r="L793" s="98"/>
      <c r="M793" s="98"/>
      <c r="N793" s="98"/>
      <c r="O793" s="98"/>
    </row>
    <row r="794" spans="1:15" ht="15" customHeight="1">
      <c r="A794" s="53"/>
      <c r="B794" s="54"/>
      <c r="C794" s="54"/>
      <c r="D794" s="56"/>
      <c r="E794" s="57">
        <f>SUM(E796:E797)</f>
        <v>2.957</v>
      </c>
      <c r="F794" s="98"/>
      <c r="G794" s="98"/>
      <c r="H794" s="98"/>
      <c r="I794" s="98"/>
      <c r="J794" s="98"/>
      <c r="K794" s="98"/>
      <c r="L794" s="98"/>
      <c r="M794" s="98"/>
      <c r="N794" s="98"/>
      <c r="O794" s="98"/>
    </row>
    <row r="795" spans="1:18" ht="15" customHeight="1">
      <c r="A795" s="279" t="s">
        <v>5</v>
      </c>
      <c r="B795" s="279"/>
      <c r="C795" s="70" t="s">
        <v>17</v>
      </c>
      <c r="D795" s="221" t="s">
        <v>18</v>
      </c>
      <c r="E795" s="39" t="s">
        <v>7</v>
      </c>
      <c r="F795" s="98"/>
      <c r="G795" s="93" t="str">
        <f>CONCATENATE("Misc. Iron Scrap, Lying at ",C796,". Quantity in MT - ")</f>
        <v>Misc. Iron Scrap, Lying at OL Rajpura. Quantity in MT - </v>
      </c>
      <c r="H795" s="268" t="str">
        <f ca="1">CONCATENATE(G795,G796,(INDIRECT(I796)),(INDIRECT(J796)),(INDIRECT(K796)),(INDIRECT(L796)),(INDIRECT(M796)),(INDIRECT(N796)),(INDIRECT(O796)),(INDIRECT(P796)),(INDIRECT(Q796)),(INDIRECT(R796)),".")</f>
        <v>Misc. Iron Scrap, Lying at OL Rajpura. Quantity in MT - MS iron scrap - 1.507, MS Rail scrap - 1.45, .</v>
      </c>
      <c r="I795" s="98" t="str">
        <f aca="true" ca="1" t="array" ref="I795">CELL("address",INDEX(G795:G813,MATCH(TRUE,ISBLANK(G795:G813),0)))</f>
        <v>$G$798</v>
      </c>
      <c r="J795" s="98">
        <f aca="true" t="array" ref="J795">MATCH(TRUE,ISBLANK(G795:G813),0)</f>
        <v>4</v>
      </c>
      <c r="K795" s="98">
        <f>J795-3</f>
        <v>1</v>
      </c>
      <c r="L795" s="98"/>
      <c r="M795" s="98"/>
      <c r="N795" s="98"/>
      <c r="O795" s="98"/>
      <c r="P795" s="98"/>
      <c r="Q795" s="98"/>
      <c r="R795" s="98"/>
    </row>
    <row r="796" spans="1:18" ht="15" customHeight="1">
      <c r="A796" s="260" t="s">
        <v>200</v>
      </c>
      <c r="B796" s="260"/>
      <c r="C796" s="261" t="s">
        <v>103</v>
      </c>
      <c r="D796" s="42" t="s">
        <v>29</v>
      </c>
      <c r="E796" s="69">
        <v>1.507</v>
      </c>
      <c r="F796" s="220"/>
      <c r="G796" s="92" t="str">
        <f>CONCATENATE(D796," - ",E796,", ")</f>
        <v>MS iron scrap - 1.507, </v>
      </c>
      <c r="H796" s="268"/>
      <c r="I796" s="98" t="str">
        <f ca="1">IF(J795&gt;=3,(MID(I795,2,1)&amp;MID(I795,4,3)-K795),CELL("address",Z796))</f>
        <v>G797</v>
      </c>
      <c r="J796" s="98" t="str">
        <f ca="1">IF(J795&gt;=4,(MID(I796,1,1)&amp;MID(I796,2,3)+1),CELL("address",AA796))</f>
        <v>G798</v>
      </c>
      <c r="K796" s="98" t="str">
        <f ca="1">IF(J795&gt;=5,(MID(J796,1,1)&amp;MID(J796,2,3)+1),CELL("address",AB796))</f>
        <v>$AB$796</v>
      </c>
      <c r="L796" s="98" t="str">
        <f ca="1">IF(J795&gt;=6,(MID(K796,1,1)&amp;MID(K796,2,3)+1),CELL("address",AC796))</f>
        <v>$AC$796</v>
      </c>
      <c r="M796" s="98" t="str">
        <f ca="1">IF(J795&gt;=7,(MID(L796,1,1)&amp;MID(L796,2,3)+1),CELL("address",AD796))</f>
        <v>$AD$796</v>
      </c>
      <c r="N796" s="98" t="str">
        <f ca="1">IF(J795&gt;=8,(MID(M796,1,1)&amp;MID(M796,2,3)+1),CELL("address",AE796))</f>
        <v>$AE$796</v>
      </c>
      <c r="O796" s="98" t="str">
        <f ca="1">IF(J795&gt;=9,(MID(N796,1,1)&amp;MID(N796,2,3)+1),CELL("address",AF796))</f>
        <v>$AF$796</v>
      </c>
      <c r="P796" s="98" t="str">
        <f ca="1">IF(J795&gt;=10,(MID(O796,1,1)&amp;MID(O796,2,3)+1),CELL("address",AG796))</f>
        <v>$AG$796</v>
      </c>
      <c r="Q796" s="98" t="str">
        <f ca="1">IF(J795&gt;=11,(MID(P796,1,1)&amp;MID(P796,2,3)+1),CELL("address",AH796))</f>
        <v>$AH$796</v>
      </c>
      <c r="R796" s="98" t="str">
        <f ca="1">IF(J795&gt;=12,(MID(Q796,1,1)&amp;MID(Q796,2,3)+1),CELL("address",AI796))</f>
        <v>$AI$796</v>
      </c>
    </row>
    <row r="797" spans="1:15" ht="15" customHeight="1">
      <c r="A797" s="260"/>
      <c r="B797" s="260"/>
      <c r="C797" s="261"/>
      <c r="D797" s="40" t="s">
        <v>61</v>
      </c>
      <c r="E797" s="58">
        <v>1.45</v>
      </c>
      <c r="F797" s="204"/>
      <c r="G797" s="92" t="str">
        <f>CONCATENATE(D797," - ",E797,", ")</f>
        <v>MS Rail scrap - 1.45, </v>
      </c>
      <c r="H797" s="98"/>
      <c r="I797" s="98"/>
      <c r="J797" s="98"/>
      <c r="K797" s="98"/>
      <c r="L797" s="98"/>
      <c r="M797" s="98"/>
      <c r="N797" s="98"/>
      <c r="O797" s="98"/>
    </row>
    <row r="798" spans="1:15" ht="15" customHeight="1">
      <c r="A798" s="39"/>
      <c r="B798" s="41"/>
      <c r="C798" s="48"/>
      <c r="D798" s="41"/>
      <c r="E798" s="58"/>
      <c r="F798" s="98"/>
      <c r="G798" s="98"/>
      <c r="H798" s="98"/>
      <c r="I798" s="98"/>
      <c r="J798" s="98"/>
      <c r="K798" s="98"/>
      <c r="L798" s="98"/>
      <c r="M798" s="98"/>
      <c r="N798" s="98"/>
      <c r="O798" s="98"/>
    </row>
    <row r="799" spans="1:15" ht="15" customHeight="1">
      <c r="A799" s="53"/>
      <c r="B799" s="54"/>
      <c r="C799" s="54"/>
      <c r="D799" s="56"/>
      <c r="E799" s="57">
        <f>SUM(E801:E801)</f>
        <v>2</v>
      </c>
      <c r="F799" s="98"/>
      <c r="G799" s="98"/>
      <c r="H799" s="98"/>
      <c r="I799" s="98" t="str">
        <f ca="1">IF(G798&gt;=6,(MID(H799,1,1)&amp;MID(H799,2,3)+1),CELL("address",Z799))</f>
        <v>$Z$799</v>
      </c>
      <c r="J799" s="98" t="str">
        <f ca="1">IF(G798&gt;=7,(MID(I799,1,1)&amp;MID(I799,2,3)+1),CELL("address",AA799))</f>
        <v>$AA$799</v>
      </c>
      <c r="K799" s="98" t="str">
        <f ca="1">IF(G798&gt;=8,(MID(J799,1,1)&amp;MID(J799,2,3)+1),CELL("address",AB799))</f>
        <v>$AB$799</v>
      </c>
      <c r="L799" s="98" t="str">
        <f ca="1">IF(G798&gt;=9,(MID(K799,1,1)&amp;MID(K799,2,3)+1),CELL("address",AC799))</f>
        <v>$AC$799</v>
      </c>
      <c r="M799" s="98" t="str">
        <f ca="1">IF(G798&gt;=10,(MID(L799,1,1)&amp;MID(L799,2,3)+1),CELL("address",AD799))</f>
        <v>$AD$799</v>
      </c>
      <c r="N799" s="98" t="str">
        <f ca="1">IF(G798&gt;=11,(MID(M799,1,1)&amp;MID(M799,2,3)+1),CELL("address",AE799))</f>
        <v>$AE$799</v>
      </c>
      <c r="O799" s="98" t="str">
        <f ca="1">IF(G798&gt;=12,(MID(N799,1,1)&amp;MID(N799,2,3)+1),CELL("address",AF799))</f>
        <v>$AF$799</v>
      </c>
    </row>
    <row r="800" spans="1:18" ht="15" customHeight="1">
      <c r="A800" s="279" t="s">
        <v>5</v>
      </c>
      <c r="B800" s="279"/>
      <c r="C800" s="70" t="s">
        <v>17</v>
      </c>
      <c r="D800" s="221" t="s">
        <v>18</v>
      </c>
      <c r="E800" s="39" t="s">
        <v>69</v>
      </c>
      <c r="F800" s="98"/>
      <c r="G800" s="93" t="str">
        <f>CONCATENATE("U/S Tyres, Lying at ",C801,". Quantity in No - ")</f>
        <v>U/S Tyres, Lying at CS Sangrur. Quantity in No - </v>
      </c>
      <c r="H800" s="268" t="str">
        <f ca="1">CONCATENATE(G800,G801,(INDIRECT(I801)),(INDIRECT(J801)),(INDIRECT(K801)),(INDIRECT(L801)),(INDIRECT(M801)),(INDIRECT(N801)),(INDIRECT(O801)),(INDIRECT(P801)),(INDIRECT(Q801)),(INDIRECT(R801)),".")</f>
        <v>U/S Tyres, Lying at CS Sangrur. Quantity in No - U/S Tyres - 2, .</v>
      </c>
      <c r="I800" s="98" t="str">
        <f aca="true" ca="1" t="array" ref="I800">CELL("address",INDEX(G800:G818,MATCH(TRUE,ISBLANK(G800:G818),0)))</f>
        <v>$G$802</v>
      </c>
      <c r="J800" s="98">
        <f aca="true" t="array" ref="J800">MATCH(TRUE,ISBLANK(G800:G818),0)</f>
        <v>3</v>
      </c>
      <c r="K800" s="98">
        <f>J800-3</f>
        <v>0</v>
      </c>
      <c r="L800" s="98"/>
      <c r="M800" s="98"/>
      <c r="N800" s="98"/>
      <c r="O800" s="98"/>
      <c r="P800" s="98"/>
      <c r="Q800" s="98"/>
      <c r="R800" s="98"/>
    </row>
    <row r="801" spans="1:18" ht="15" customHeight="1">
      <c r="A801" s="260" t="s">
        <v>207</v>
      </c>
      <c r="B801" s="260"/>
      <c r="C801" s="221" t="s">
        <v>79</v>
      </c>
      <c r="D801" s="42" t="s">
        <v>378</v>
      </c>
      <c r="E801" s="69">
        <v>2</v>
      </c>
      <c r="F801" s="98"/>
      <c r="G801" s="92" t="str">
        <f>CONCATENATE(D801," - ",E801,", ")</f>
        <v>U/S Tyres - 2, </v>
      </c>
      <c r="H801" s="268"/>
      <c r="I801" s="98" t="str">
        <f ca="1">IF(J800&gt;=3,(MID(I800,2,1)&amp;MID(I800,4,3)-K800),CELL("address",Z801))</f>
        <v>G802</v>
      </c>
      <c r="J801" s="98" t="str">
        <f ca="1">IF(J800&gt;=4,(MID(I801,1,1)&amp;MID(I801,2,3)+1),CELL("address",AA801))</f>
        <v>$AA$801</v>
      </c>
      <c r="K801" s="98" t="str">
        <f ca="1">IF(J800&gt;=5,(MID(J801,1,1)&amp;MID(J801,2,3)+1),CELL("address",AB801))</f>
        <v>$AB$801</v>
      </c>
      <c r="L801" s="98" t="str">
        <f ca="1">IF(J800&gt;=6,(MID(K801,1,1)&amp;MID(K801,2,3)+1),CELL("address",AC801))</f>
        <v>$AC$801</v>
      </c>
      <c r="M801" s="98" t="str">
        <f ca="1">IF(J800&gt;=7,(MID(L801,1,1)&amp;MID(L801,2,3)+1),CELL("address",AD801))</f>
        <v>$AD$801</v>
      </c>
      <c r="N801" s="98" t="str">
        <f ca="1">IF(J800&gt;=8,(MID(M801,1,1)&amp;MID(M801,2,3)+1),CELL("address",AE801))</f>
        <v>$AE$801</v>
      </c>
      <c r="O801" s="98" t="str">
        <f ca="1">IF(J800&gt;=9,(MID(N801,1,1)&amp;MID(N801,2,3)+1),CELL("address",AF801))</f>
        <v>$AF$801</v>
      </c>
      <c r="P801" s="98" t="str">
        <f ca="1">IF(J800&gt;=10,(MID(O801,1,1)&amp;MID(O801,2,3)+1),CELL("address",AG801))</f>
        <v>$AG$801</v>
      </c>
      <c r="Q801" s="98" t="str">
        <f ca="1">IF(J800&gt;=11,(MID(P801,1,1)&amp;MID(P801,2,3)+1),CELL("address",AH801))</f>
        <v>$AH$801</v>
      </c>
      <c r="R801" s="98" t="str">
        <f ca="1">IF(J800&gt;=12,(MID(Q801,1,1)&amp;MID(Q801,2,3)+1),CELL("address",AI801))</f>
        <v>$AI$801</v>
      </c>
    </row>
    <row r="802" spans="1:15" ht="15" customHeight="1">
      <c r="A802" s="39"/>
      <c r="B802" s="41"/>
      <c r="C802" s="48"/>
      <c r="D802" s="41"/>
      <c r="E802" s="58"/>
      <c r="F802" s="98"/>
      <c r="G802" s="98"/>
      <c r="H802" s="98"/>
      <c r="I802" s="98"/>
      <c r="J802" s="98"/>
      <c r="K802" s="98"/>
      <c r="L802" s="98"/>
      <c r="M802" s="98"/>
      <c r="N802" s="98"/>
      <c r="O802" s="98"/>
    </row>
    <row r="803" spans="1:15" ht="15" customHeight="1">
      <c r="A803" s="53"/>
      <c r="B803" s="54"/>
      <c r="C803" s="54"/>
      <c r="D803" s="56"/>
      <c r="E803" s="57">
        <f>SUM(E805:E806)</f>
        <v>105</v>
      </c>
      <c r="F803" s="98"/>
      <c r="G803" s="98"/>
      <c r="H803" s="98"/>
      <c r="I803" s="98"/>
      <c r="J803" s="98"/>
      <c r="K803" s="98"/>
      <c r="L803" s="98"/>
      <c r="M803" s="98"/>
      <c r="N803" s="98"/>
      <c r="O803" s="98"/>
    </row>
    <row r="804" spans="1:18" ht="15" customHeight="1">
      <c r="A804" s="279" t="s">
        <v>5</v>
      </c>
      <c r="B804" s="279"/>
      <c r="C804" s="70" t="s">
        <v>17</v>
      </c>
      <c r="D804" s="221" t="s">
        <v>18</v>
      </c>
      <c r="E804" s="39" t="s">
        <v>69</v>
      </c>
      <c r="F804" s="98"/>
      <c r="G804" s="93" t="str">
        <f>CONCATENATE("U/S Tyres and Tubes , Lying at ",C805,". Quantity in No - ")</f>
        <v>U/S Tyres and Tubes , Lying at CS Patiala. Quantity in No - </v>
      </c>
      <c r="H804" s="268" t="str">
        <f ca="1">CONCATENATE(G804,G805,(INDIRECT(I805)),(INDIRECT(J805)),(INDIRECT(K805)),(INDIRECT(L805)),(INDIRECT(M805)),(INDIRECT(N805)),(INDIRECT(O805)),(INDIRECT(P805)),(INDIRECT(Q805)),(INDIRECT(R805)),".")</f>
        <v>U/S Tyres and Tubes , Lying at CS Patiala. Quantity in No - U/S Tyres - 60, U/S Tubes - 45, .</v>
      </c>
      <c r="I804" s="98" t="str">
        <f aca="true" ca="1" t="array" ref="I804">CELL("address",INDEX(G804:G822,MATCH(TRUE,ISBLANK(G804:G822),0)))</f>
        <v>$G$807</v>
      </c>
      <c r="J804" s="98">
        <f aca="true" t="array" ref="J804">MATCH(TRUE,ISBLANK(G804:G822),0)</f>
        <v>4</v>
      </c>
      <c r="K804" s="98">
        <f>J804-3</f>
        <v>1</v>
      </c>
      <c r="L804" s="98"/>
      <c r="M804" s="98"/>
      <c r="N804" s="98"/>
      <c r="O804" s="98"/>
      <c r="P804" s="98"/>
      <c r="Q804" s="98"/>
      <c r="R804" s="98"/>
    </row>
    <row r="805" spans="1:18" ht="15" customHeight="1">
      <c r="A805" s="260" t="s">
        <v>208</v>
      </c>
      <c r="B805" s="260"/>
      <c r="C805" s="261" t="s">
        <v>52</v>
      </c>
      <c r="D805" s="40" t="s">
        <v>378</v>
      </c>
      <c r="E805" s="254">
        <v>60</v>
      </c>
      <c r="F805" s="98"/>
      <c r="G805" s="92" t="str">
        <f>CONCATENATE(D805," - ",E805,", ")</f>
        <v>U/S Tyres - 60, </v>
      </c>
      <c r="H805" s="268"/>
      <c r="I805" s="98" t="str">
        <f ca="1">IF(J804&gt;=3,(MID(I804,2,1)&amp;MID(I804,4,3)-K804),CELL("address",Z805))</f>
        <v>G806</v>
      </c>
      <c r="J805" s="98" t="str">
        <f ca="1">IF(J804&gt;=4,(MID(I805,1,1)&amp;MID(I805,2,3)+1),CELL("address",AA805))</f>
        <v>G807</v>
      </c>
      <c r="K805" s="98" t="str">
        <f ca="1">IF(J804&gt;=5,(MID(J805,1,1)&amp;MID(J805,2,3)+1),CELL("address",AB805))</f>
        <v>$AB$805</v>
      </c>
      <c r="L805" s="98" t="str">
        <f ca="1">IF(J804&gt;=6,(MID(K805,1,1)&amp;MID(K805,2,3)+1),CELL("address",AC805))</f>
        <v>$AC$805</v>
      </c>
      <c r="M805" s="98" t="str">
        <f ca="1">IF(J804&gt;=7,(MID(L805,1,1)&amp;MID(L805,2,3)+1),CELL("address",AD805))</f>
        <v>$AD$805</v>
      </c>
      <c r="N805" s="98" t="str">
        <f ca="1">IF(J804&gt;=8,(MID(M805,1,1)&amp;MID(M805,2,3)+1),CELL("address",AE805))</f>
        <v>$AE$805</v>
      </c>
      <c r="O805" s="98" t="str">
        <f ca="1">IF(J804&gt;=9,(MID(N805,1,1)&amp;MID(N805,2,3)+1),CELL("address",AF805))</f>
        <v>$AF$805</v>
      </c>
      <c r="P805" s="98" t="str">
        <f ca="1">IF(J804&gt;=10,(MID(O805,1,1)&amp;MID(O805,2,3)+1),CELL("address",AG805))</f>
        <v>$AG$805</v>
      </c>
      <c r="Q805" s="98" t="str">
        <f ca="1">IF(J804&gt;=11,(MID(P805,1,1)&amp;MID(P805,2,3)+1),CELL("address",AH805))</f>
        <v>$AH$805</v>
      </c>
      <c r="R805" s="98" t="str">
        <f ca="1">IF(J804&gt;=12,(MID(Q805,1,1)&amp;MID(Q805,2,3)+1),CELL("address",AI805))</f>
        <v>$AI$805</v>
      </c>
    </row>
    <row r="806" spans="1:15" ht="15" customHeight="1">
      <c r="A806" s="260"/>
      <c r="B806" s="260"/>
      <c r="C806" s="261"/>
      <c r="D806" s="40" t="s">
        <v>379</v>
      </c>
      <c r="E806" s="254">
        <v>45</v>
      </c>
      <c r="F806" s="98"/>
      <c r="G806" s="92" t="str">
        <f>CONCATENATE(D806," - ",E806,", ")</f>
        <v>U/S Tubes - 45, </v>
      </c>
      <c r="H806" s="98"/>
      <c r="I806" s="98"/>
      <c r="J806" s="98"/>
      <c r="K806" s="98"/>
      <c r="L806" s="98"/>
      <c r="M806" s="98"/>
      <c r="N806" s="98"/>
      <c r="O806" s="98"/>
    </row>
    <row r="807" spans="1:15" ht="15" customHeight="1">
      <c r="A807" s="262"/>
      <c r="B807" s="263"/>
      <c r="C807" s="238"/>
      <c r="D807" s="240"/>
      <c r="E807" s="184"/>
      <c r="F807" s="98"/>
      <c r="G807" s="98"/>
      <c r="H807" s="98"/>
      <c r="I807" s="98"/>
      <c r="J807" s="98"/>
      <c r="K807" s="98"/>
      <c r="L807" s="98"/>
      <c r="M807" s="98"/>
      <c r="N807" s="98"/>
      <c r="O807" s="98"/>
    </row>
    <row r="808" spans="1:15" ht="15" customHeight="1">
      <c r="A808" s="265"/>
      <c r="B808" s="266"/>
      <c r="C808" s="40"/>
      <c r="D808" s="237"/>
      <c r="E808" s="57">
        <f>SUM(E810:E814)</f>
        <v>4.514</v>
      </c>
      <c r="F808" s="98"/>
      <c r="G808" s="98"/>
      <c r="H808" s="98"/>
      <c r="I808" s="98"/>
      <c r="J808" s="98"/>
      <c r="K808" s="98"/>
      <c r="L808" s="98"/>
      <c r="M808" s="98"/>
      <c r="N808" s="98"/>
      <c r="O808" s="98"/>
    </row>
    <row r="809" spans="1:18" ht="15" customHeight="1">
      <c r="A809" s="279" t="s">
        <v>5</v>
      </c>
      <c r="B809" s="279"/>
      <c r="C809" s="70" t="s">
        <v>17</v>
      </c>
      <c r="D809" s="221" t="s">
        <v>18</v>
      </c>
      <c r="E809" s="39" t="s">
        <v>7</v>
      </c>
      <c r="F809" s="98"/>
      <c r="G809" s="93" t="str">
        <f>CONCATENATE("Misc. Iron Scrap, Lying at ",C810,". Quantity in MT - ")</f>
        <v>Misc. Iron Scrap, Lying at CS Sangrur. Quantity in MT - </v>
      </c>
      <c r="H809" s="268" t="str">
        <f ca="1">CONCATENATE(G809,G810,(INDIRECT(I810)),(INDIRECT(J810)),(INDIRECT(K810)),(INDIRECT(L810)),(INDIRECT(M810)),(INDIRECT(N810)),(INDIRECT(O810)),(INDIRECT(P810)),(INDIRECT(Q810)),(INDIRECT(R810)),".")</f>
        <v>Misc. Iron Scrap, Lying at CS Sangrur. Quantity in MT - Tubular Poles - 0.155, MS iron scrap - 3.163, MS Rail scrap - 0.33, Transformer body scrap - 0.855, G.I. Scrap - 0.011, .</v>
      </c>
      <c r="I809" s="98" t="str">
        <f aca="true" ca="1" t="array" ref="I809">CELL("address",INDEX(G809:G827,MATCH(TRUE,ISBLANK(G809:G827),0)))</f>
        <v>$G$815</v>
      </c>
      <c r="J809" s="98">
        <f aca="true" t="array" ref="J809">MATCH(TRUE,ISBLANK(G809:G827),0)</f>
        <v>7</v>
      </c>
      <c r="K809" s="98">
        <f>J809-3</f>
        <v>4</v>
      </c>
      <c r="L809" s="98"/>
      <c r="M809" s="98"/>
      <c r="N809" s="98"/>
      <c r="O809" s="98"/>
      <c r="P809" s="98"/>
      <c r="Q809" s="98"/>
      <c r="R809" s="98"/>
    </row>
    <row r="810" spans="1:18" ht="15" customHeight="1">
      <c r="A810" s="260" t="s">
        <v>176</v>
      </c>
      <c r="B810" s="260"/>
      <c r="C810" s="261" t="s">
        <v>79</v>
      </c>
      <c r="D810" s="42" t="s">
        <v>384</v>
      </c>
      <c r="E810" s="69">
        <v>0.155</v>
      </c>
      <c r="F810" s="98"/>
      <c r="G810" s="92" t="str">
        <f>CONCATENATE(D810," - ",E810,", ")</f>
        <v>Tubular Poles - 0.155, </v>
      </c>
      <c r="H810" s="268"/>
      <c r="I810" s="98" t="str">
        <f ca="1">IF(J809&gt;=3,(MID(I809,2,1)&amp;MID(I809,4,3)-K809),CELL("address",Z810))</f>
        <v>G811</v>
      </c>
      <c r="J810" s="98" t="str">
        <f ca="1">IF(J809&gt;=4,(MID(I810,1,1)&amp;MID(I810,2,3)+1),CELL("address",AA810))</f>
        <v>G812</v>
      </c>
      <c r="K810" s="98" t="str">
        <f ca="1">IF(J809&gt;=5,(MID(J810,1,1)&amp;MID(J810,2,3)+1),CELL("address",AB810))</f>
        <v>G813</v>
      </c>
      <c r="L810" s="98" t="str">
        <f ca="1">IF(J809&gt;=6,(MID(K810,1,1)&amp;MID(K810,2,3)+1),CELL("address",AC810))</f>
        <v>G814</v>
      </c>
      <c r="M810" s="98" t="str">
        <f ca="1">IF(J809&gt;=7,(MID(L810,1,1)&amp;MID(L810,2,3)+1),CELL("address",AD810))</f>
        <v>G815</v>
      </c>
      <c r="N810" s="98" t="str">
        <f ca="1">IF(J809&gt;=8,(MID(M810,1,1)&amp;MID(M810,2,3)+1),CELL("address",AE810))</f>
        <v>$AE$810</v>
      </c>
      <c r="O810" s="98" t="str">
        <f ca="1">IF(J809&gt;=9,(MID(N810,1,1)&amp;MID(N810,2,3)+1),CELL("address",AF810))</f>
        <v>$AF$810</v>
      </c>
      <c r="P810" s="98" t="str">
        <f ca="1">IF(J809&gt;=10,(MID(O810,1,1)&amp;MID(O810,2,3)+1),CELL("address",AG810))</f>
        <v>$AG$810</v>
      </c>
      <c r="Q810" s="98" t="str">
        <f ca="1">IF(J809&gt;=11,(MID(P810,1,1)&amp;MID(P810,2,3)+1),CELL("address",AH810))</f>
        <v>$AH$810</v>
      </c>
      <c r="R810" s="98" t="str">
        <f ca="1">IF(J809&gt;=12,(MID(Q810,1,1)&amp;MID(Q810,2,3)+1),CELL("address",AI810))</f>
        <v>$AI$810</v>
      </c>
    </row>
    <row r="811" spans="1:15" ht="15" customHeight="1">
      <c r="A811" s="260"/>
      <c r="B811" s="260"/>
      <c r="C811" s="261"/>
      <c r="D811" s="42" t="s">
        <v>29</v>
      </c>
      <c r="E811" s="58">
        <v>3.163</v>
      </c>
      <c r="F811" s="98"/>
      <c r="G811" s="92" t="str">
        <f>CONCATENATE(D811," - ",E811,", ")</f>
        <v>MS iron scrap - 3.163, </v>
      </c>
      <c r="H811" s="98"/>
      <c r="I811" s="98"/>
      <c r="J811" s="98"/>
      <c r="K811" s="98"/>
      <c r="L811" s="98"/>
      <c r="M811" s="98"/>
      <c r="N811" s="98"/>
      <c r="O811" s="98"/>
    </row>
    <row r="812" spans="1:15" ht="15" customHeight="1">
      <c r="A812" s="260"/>
      <c r="B812" s="260"/>
      <c r="C812" s="261"/>
      <c r="D812" s="42" t="s">
        <v>61</v>
      </c>
      <c r="E812" s="58">
        <v>0.33</v>
      </c>
      <c r="F812" s="98"/>
      <c r="G812" s="92" t="str">
        <f>CONCATENATE(D812," - ",E812,", ")</f>
        <v>MS Rail scrap - 0.33, </v>
      </c>
      <c r="H812" s="98"/>
      <c r="I812" s="98" t="e">
        <f ca="1">IF(G811&gt;=6,(MID(H812,1,1)&amp;MID(H812,2,3)+1),CELL("address",Z812))</f>
        <v>#VALUE!</v>
      </c>
      <c r="J812" s="98" t="e">
        <f ca="1">IF(G811&gt;=7,(MID(I812,1,1)&amp;MID(I812,2,3)+1),CELL("address",AA812))</f>
        <v>#VALUE!</v>
      </c>
      <c r="K812" s="98" t="e">
        <f ca="1">IF(G811&gt;=8,(MID(J812,1,1)&amp;MID(J812,2,3)+1),CELL("address",AB812))</f>
        <v>#VALUE!</v>
      </c>
      <c r="L812" s="98" t="e">
        <f ca="1">IF(G811&gt;=9,(MID(K812,1,1)&amp;MID(K812,2,3)+1),CELL("address",AC812))</f>
        <v>#VALUE!</v>
      </c>
      <c r="M812" s="98" t="e">
        <f ca="1">IF(G811&gt;=10,(MID(L812,1,1)&amp;MID(L812,2,3)+1),CELL("address",AD812))</f>
        <v>#VALUE!</v>
      </c>
      <c r="N812" s="98" t="e">
        <f ca="1">IF(G811&gt;=11,(MID(M812,1,1)&amp;MID(M812,2,3)+1),CELL("address",AE812))</f>
        <v>#VALUE!</v>
      </c>
      <c r="O812" s="98" t="e">
        <f ca="1">IF(G811&gt;=12,(MID(N812,1,1)&amp;MID(N812,2,3)+1),CELL("address",AF812))</f>
        <v>#VALUE!</v>
      </c>
    </row>
    <row r="813" spans="1:15" ht="15" customHeight="1">
      <c r="A813" s="260"/>
      <c r="B813" s="260"/>
      <c r="C813" s="261"/>
      <c r="D813" s="81" t="s">
        <v>60</v>
      </c>
      <c r="E813" s="58">
        <v>0.855</v>
      </c>
      <c r="F813" s="98"/>
      <c r="G813" s="92" t="str">
        <f>CONCATENATE(D813," - ",E813,", ")</f>
        <v>Transformer body scrap - 0.855, </v>
      </c>
      <c r="H813" s="98"/>
      <c r="I813" s="98"/>
      <c r="J813" s="98"/>
      <c r="K813" s="98"/>
      <c r="L813" s="98"/>
      <c r="M813" s="98"/>
      <c r="N813" s="98"/>
      <c r="O813" s="98"/>
    </row>
    <row r="814" spans="1:15" ht="15" customHeight="1">
      <c r="A814" s="260"/>
      <c r="B814" s="260"/>
      <c r="C814" s="261"/>
      <c r="D814" s="81" t="s">
        <v>198</v>
      </c>
      <c r="E814" s="58">
        <v>0.011</v>
      </c>
      <c r="F814" s="98"/>
      <c r="G814" s="92" t="str">
        <f>CONCATENATE(D814," - ",E814,", ")</f>
        <v>G.I. Scrap - 0.011, </v>
      </c>
      <c r="H814" s="98"/>
      <c r="I814" s="98"/>
      <c r="J814" s="98"/>
      <c r="K814" s="98"/>
      <c r="L814" s="98"/>
      <c r="M814" s="98"/>
      <c r="N814" s="98"/>
      <c r="O814" s="98"/>
    </row>
    <row r="815" spans="1:15" ht="15" customHeight="1">
      <c r="A815" s="39"/>
      <c r="B815" s="41"/>
      <c r="C815" s="48"/>
      <c r="D815" s="233"/>
      <c r="E815" s="184"/>
      <c r="F815" s="98"/>
      <c r="G815" s="98"/>
      <c r="H815" s="98"/>
      <c r="I815" s="98"/>
      <c r="J815" s="98"/>
      <c r="K815" s="98"/>
      <c r="L815" s="98"/>
      <c r="M815" s="98"/>
      <c r="N815" s="98"/>
      <c r="O815" s="98"/>
    </row>
    <row r="816" spans="1:15" ht="15" customHeight="1">
      <c r="A816" s="53"/>
      <c r="B816" s="54"/>
      <c r="C816" s="54"/>
      <c r="D816" s="56"/>
      <c r="E816" s="57">
        <f>SUM(E818:E820)</f>
        <v>3.185</v>
      </c>
      <c r="F816" s="98"/>
      <c r="G816" s="98"/>
      <c r="H816" s="98"/>
      <c r="I816" s="98"/>
      <c r="J816" s="98"/>
      <c r="K816" s="98"/>
      <c r="L816" s="98"/>
      <c r="M816" s="98"/>
      <c r="N816" s="98"/>
      <c r="O816" s="98"/>
    </row>
    <row r="817" spans="1:18" ht="15" customHeight="1">
      <c r="A817" s="279" t="s">
        <v>5</v>
      </c>
      <c r="B817" s="279"/>
      <c r="C817" s="70" t="s">
        <v>17</v>
      </c>
      <c r="D817" s="221" t="s">
        <v>18</v>
      </c>
      <c r="E817" s="39" t="s">
        <v>7</v>
      </c>
      <c r="F817" s="98"/>
      <c r="G817" s="93" t="str">
        <f>CONCATENATE("Misc. Iron Scrap, Lying at ",C818,". Quantity in MT - ")</f>
        <v>Misc. Iron Scrap, Lying at OL Barnala. Quantity in MT - </v>
      </c>
      <c r="H817" s="268" t="str">
        <f ca="1">CONCATENATE(G817,G818,(INDIRECT(I818)),(INDIRECT(J818)),(INDIRECT(K818)),(INDIRECT(L818)),(INDIRECT(M818)),(INDIRECT(N818)),(INDIRECT(O818)),(INDIRECT(P818)),(INDIRECT(Q818)),(INDIRECT(R818)),".")</f>
        <v>Misc. Iron Scrap, Lying at OL Barnala. Quantity in MT - Tubular Poles - 0.282, MS iron scrap - 2.368, Transformer body scrap - 0.535, .</v>
      </c>
      <c r="I817" s="98" t="str">
        <f aca="true" ca="1" t="array" ref="I817">CELL("address",INDEX(G817:G835,MATCH(TRUE,ISBLANK(G817:G835),0)))</f>
        <v>$G$821</v>
      </c>
      <c r="J817" s="98">
        <f aca="true" t="array" ref="J817">MATCH(TRUE,ISBLANK(G817:G835),0)</f>
        <v>5</v>
      </c>
      <c r="K817" s="98">
        <f>J817-3</f>
        <v>2</v>
      </c>
      <c r="L817" s="98"/>
      <c r="M817" s="98"/>
      <c r="N817" s="98"/>
      <c r="O817" s="98"/>
      <c r="P817" s="98"/>
      <c r="Q817" s="98"/>
      <c r="R817" s="98"/>
    </row>
    <row r="818" spans="1:18" ht="15" customHeight="1">
      <c r="A818" s="260" t="s">
        <v>177</v>
      </c>
      <c r="B818" s="260"/>
      <c r="C818" s="261" t="s">
        <v>190</v>
      </c>
      <c r="D818" s="42" t="s">
        <v>384</v>
      </c>
      <c r="E818" s="69">
        <v>0.282</v>
      </c>
      <c r="F818" s="98"/>
      <c r="G818" s="92" t="str">
        <f>CONCATENATE(D818," - ",E818,", ")</f>
        <v>Tubular Poles - 0.282, </v>
      </c>
      <c r="H818" s="268"/>
      <c r="I818" s="98" t="str">
        <f ca="1">IF(J817&gt;=3,(MID(I817,2,1)&amp;MID(I817,4,3)-K817),CELL("address",Z818))</f>
        <v>G819</v>
      </c>
      <c r="J818" s="98" t="str">
        <f ca="1">IF(J817&gt;=4,(MID(I818,1,1)&amp;MID(I818,2,3)+1),CELL("address",AA818))</f>
        <v>G820</v>
      </c>
      <c r="K818" s="98" t="str">
        <f ca="1">IF(J817&gt;=5,(MID(J818,1,1)&amp;MID(J818,2,3)+1),CELL("address",AB818))</f>
        <v>G821</v>
      </c>
      <c r="L818" s="98" t="str">
        <f ca="1">IF(J817&gt;=6,(MID(K818,1,1)&amp;MID(K818,2,3)+1),CELL("address",AC818))</f>
        <v>$AC$818</v>
      </c>
      <c r="M818" s="98" t="str">
        <f ca="1">IF(J817&gt;=7,(MID(L818,1,1)&amp;MID(L818,2,3)+1),CELL("address",AD818))</f>
        <v>$AD$818</v>
      </c>
      <c r="N818" s="98" t="str">
        <f ca="1">IF(J817&gt;=8,(MID(M818,1,1)&amp;MID(M818,2,3)+1),CELL("address",AE818))</f>
        <v>$AE$818</v>
      </c>
      <c r="O818" s="98" t="str">
        <f ca="1">IF(J817&gt;=9,(MID(N818,1,1)&amp;MID(N818,2,3)+1),CELL("address",AF818))</f>
        <v>$AF$818</v>
      </c>
      <c r="P818" s="98" t="str">
        <f ca="1">IF(J817&gt;=10,(MID(O818,1,1)&amp;MID(O818,2,3)+1),CELL("address",AG818))</f>
        <v>$AG$818</v>
      </c>
      <c r="Q818" s="98" t="str">
        <f ca="1">IF(J817&gt;=11,(MID(P818,1,1)&amp;MID(P818,2,3)+1),CELL("address",AH818))</f>
        <v>$AH$818</v>
      </c>
      <c r="R818" s="98" t="str">
        <f ca="1">IF(J817&gt;=12,(MID(Q818,1,1)&amp;MID(Q818,2,3)+1),CELL("address",AI818))</f>
        <v>$AI$818</v>
      </c>
    </row>
    <row r="819" spans="1:15" ht="15" customHeight="1">
      <c r="A819" s="260"/>
      <c r="B819" s="260"/>
      <c r="C819" s="261"/>
      <c r="D819" s="42" t="s">
        <v>29</v>
      </c>
      <c r="E819" s="58">
        <v>2.368</v>
      </c>
      <c r="F819" s="98"/>
      <c r="G819" s="92" t="str">
        <f>CONCATENATE(D819," - ",E819,", ")</f>
        <v>MS iron scrap - 2.368, </v>
      </c>
      <c r="H819" s="98"/>
      <c r="I819" s="98"/>
      <c r="J819" s="98"/>
      <c r="K819" s="98"/>
      <c r="L819" s="98"/>
      <c r="M819" s="98"/>
      <c r="N819" s="98"/>
      <c r="O819" s="98"/>
    </row>
    <row r="820" spans="1:15" ht="15" customHeight="1">
      <c r="A820" s="260"/>
      <c r="B820" s="260"/>
      <c r="C820" s="261"/>
      <c r="D820" s="81" t="s">
        <v>60</v>
      </c>
      <c r="E820" s="58">
        <v>0.535</v>
      </c>
      <c r="F820" s="98"/>
      <c r="G820" s="92" t="str">
        <f>CONCATENATE(D820," - ",E820,", ")</f>
        <v>Transformer body scrap - 0.535, </v>
      </c>
      <c r="H820" s="98"/>
      <c r="I820" s="98"/>
      <c r="J820" s="98"/>
      <c r="K820" s="98"/>
      <c r="L820" s="98"/>
      <c r="M820" s="98"/>
      <c r="N820" s="98"/>
      <c r="O820" s="98"/>
    </row>
    <row r="821" spans="1:15" ht="15" customHeight="1">
      <c r="A821" s="39"/>
      <c r="B821" s="41"/>
      <c r="C821" s="48"/>
      <c r="D821" s="233"/>
      <c r="E821" s="184"/>
      <c r="F821" s="98"/>
      <c r="G821" s="98"/>
      <c r="H821" s="98"/>
      <c r="I821" s="98"/>
      <c r="J821" s="98"/>
      <c r="K821" s="98"/>
      <c r="L821" s="98"/>
      <c r="M821" s="98"/>
      <c r="N821" s="98"/>
      <c r="O821" s="98"/>
    </row>
    <row r="822" spans="1:15" ht="15" customHeight="1">
      <c r="A822" s="53"/>
      <c r="B822" s="54"/>
      <c r="C822" s="54"/>
      <c r="D822" s="56"/>
      <c r="E822" s="57">
        <f>SUM(E824:E828)</f>
        <v>2.49</v>
      </c>
      <c r="F822" s="98"/>
      <c r="G822" s="98"/>
      <c r="H822" s="98"/>
      <c r="I822" s="98"/>
      <c r="J822" s="98"/>
      <c r="K822" s="98"/>
      <c r="L822" s="98"/>
      <c r="M822" s="98"/>
      <c r="N822" s="98"/>
      <c r="O822" s="98"/>
    </row>
    <row r="823" spans="1:18" ht="15" customHeight="1">
      <c r="A823" s="279" t="s">
        <v>5</v>
      </c>
      <c r="B823" s="279"/>
      <c r="C823" s="70" t="s">
        <v>17</v>
      </c>
      <c r="D823" s="221" t="s">
        <v>18</v>
      </c>
      <c r="E823" s="39" t="s">
        <v>7</v>
      </c>
      <c r="F823" s="98"/>
      <c r="G823" s="93" t="str">
        <f>CONCATENATE("Misc. Iron Scrap, Lying at ",C824,". Quantity in MT - ")</f>
        <v>Misc. Iron Scrap, Lying at CS Mohali. Quantity in MT - </v>
      </c>
      <c r="H823" s="268" t="str">
        <f ca="1">CONCATENATE(G823,G824,(INDIRECT(I824)),(INDIRECT(J824)),(INDIRECT(K824)),(INDIRECT(L824)),(INDIRECT(M824)),(INDIRECT(N824)),(INDIRECT(O824)),(INDIRECT(P824)),(INDIRECT(Q824)),(INDIRECT(R824)),".")</f>
        <v>Misc. Iron Scrap, Lying at CS Mohali. Quantity in MT - Piller box scrap - 0.095, MS iron scrap - 2.002, MS Rail scrap - 0.18, Transformer body scrap - 0.113, G.I. Scrap - 0.1, .</v>
      </c>
      <c r="I823" s="98" t="str">
        <f aca="true" ca="1" t="array" ref="I823">CELL("address",INDEX(G823:G841,MATCH(TRUE,ISBLANK(G823:G841),0)))</f>
        <v>$G$829</v>
      </c>
      <c r="J823" s="98">
        <f aca="true" t="array" ref="J823">MATCH(TRUE,ISBLANK(G823:G841),0)</f>
        <v>7</v>
      </c>
      <c r="K823" s="98">
        <f>J823-3</f>
        <v>4</v>
      </c>
      <c r="L823" s="98"/>
      <c r="M823" s="98"/>
      <c r="N823" s="98"/>
      <c r="O823" s="98"/>
      <c r="P823" s="98"/>
      <c r="Q823" s="98"/>
      <c r="R823" s="98"/>
    </row>
    <row r="824" spans="1:18" ht="15" customHeight="1">
      <c r="A824" s="260" t="s">
        <v>319</v>
      </c>
      <c r="B824" s="260"/>
      <c r="C824" s="261" t="s">
        <v>62</v>
      </c>
      <c r="D824" s="42" t="s">
        <v>389</v>
      </c>
      <c r="E824" s="69">
        <v>0.095</v>
      </c>
      <c r="F824" s="98"/>
      <c r="G824" s="92" t="str">
        <f>CONCATENATE(D824," - ",E824,", ")</f>
        <v>Piller box scrap - 0.095, </v>
      </c>
      <c r="H824" s="268"/>
      <c r="I824" s="98" t="str">
        <f ca="1">IF(J823&gt;=3,(MID(I823,2,1)&amp;MID(I823,4,3)-K823),CELL("address",Z824))</f>
        <v>G825</v>
      </c>
      <c r="J824" s="98" t="str">
        <f ca="1">IF(J823&gt;=4,(MID(I824,1,1)&amp;MID(I824,2,3)+1),CELL("address",AA824))</f>
        <v>G826</v>
      </c>
      <c r="K824" s="98" t="str">
        <f ca="1">IF(J823&gt;=5,(MID(J824,1,1)&amp;MID(J824,2,3)+1),CELL("address",AB824))</f>
        <v>G827</v>
      </c>
      <c r="L824" s="98" t="str">
        <f ca="1">IF(J823&gt;=6,(MID(K824,1,1)&amp;MID(K824,2,3)+1),CELL("address",AC824))</f>
        <v>G828</v>
      </c>
      <c r="M824" s="98" t="str">
        <f ca="1">IF(J823&gt;=7,(MID(L824,1,1)&amp;MID(L824,2,3)+1),CELL("address",AD824))</f>
        <v>G829</v>
      </c>
      <c r="N824" s="98" t="str">
        <f ca="1">IF(J823&gt;=8,(MID(M824,1,1)&amp;MID(M824,2,3)+1),CELL("address",AE824))</f>
        <v>$AE$824</v>
      </c>
      <c r="O824" s="98" t="str">
        <f ca="1">IF(J823&gt;=9,(MID(N824,1,1)&amp;MID(N824,2,3)+1),CELL("address",AF824))</f>
        <v>$AF$824</v>
      </c>
      <c r="P824" s="98" t="str">
        <f ca="1">IF(J823&gt;=10,(MID(O824,1,1)&amp;MID(O824,2,3)+1),CELL("address",AG824))</f>
        <v>$AG$824</v>
      </c>
      <c r="Q824" s="98" t="str">
        <f ca="1">IF(J823&gt;=11,(MID(P824,1,1)&amp;MID(P824,2,3)+1),CELL("address",AH824))</f>
        <v>$AH$824</v>
      </c>
      <c r="R824" s="98" t="str">
        <f ca="1">IF(J823&gt;=12,(MID(Q824,1,1)&amp;MID(Q824,2,3)+1),CELL("address",AI824))</f>
        <v>$AI$824</v>
      </c>
    </row>
    <row r="825" spans="1:15" ht="15" customHeight="1">
      <c r="A825" s="260"/>
      <c r="B825" s="260"/>
      <c r="C825" s="261"/>
      <c r="D825" s="42" t="s">
        <v>29</v>
      </c>
      <c r="E825" s="58">
        <v>2.002</v>
      </c>
      <c r="F825" s="204"/>
      <c r="G825" s="92" t="str">
        <f>CONCATENATE(D825," - ",E825,", ")</f>
        <v>MS iron scrap - 2.002, </v>
      </c>
      <c r="H825" s="98"/>
      <c r="I825" s="98"/>
      <c r="J825" s="98"/>
      <c r="K825" s="98"/>
      <c r="L825" s="98"/>
      <c r="M825" s="98"/>
      <c r="N825" s="98"/>
      <c r="O825" s="98"/>
    </row>
    <row r="826" spans="1:15" ht="15" customHeight="1">
      <c r="A826" s="260"/>
      <c r="B826" s="260"/>
      <c r="C826" s="261"/>
      <c r="D826" s="42" t="s">
        <v>61</v>
      </c>
      <c r="E826" s="58">
        <v>0.18</v>
      </c>
      <c r="F826" s="204"/>
      <c r="G826" s="92" t="str">
        <f>CONCATENATE(D826," - ",E826,", ")</f>
        <v>MS Rail scrap - 0.18, </v>
      </c>
      <c r="H826" s="98"/>
      <c r="I826" s="98" t="e">
        <f ca="1">IF(G825&gt;=6,(MID(H826,1,1)&amp;MID(H826,2,3)+1),CELL("address",Z826))</f>
        <v>#VALUE!</v>
      </c>
      <c r="J826" s="98" t="e">
        <f ca="1">IF(G825&gt;=7,(MID(I826,1,1)&amp;MID(I826,2,3)+1),CELL("address",AA826))</f>
        <v>#VALUE!</v>
      </c>
      <c r="K826" s="98" t="e">
        <f ca="1">IF(G825&gt;=8,(MID(J826,1,1)&amp;MID(J826,2,3)+1),CELL("address",AB826))</f>
        <v>#VALUE!</v>
      </c>
      <c r="L826" s="98" t="e">
        <f ca="1">IF(G825&gt;=9,(MID(K826,1,1)&amp;MID(K826,2,3)+1),CELL("address",AC826))</f>
        <v>#VALUE!</v>
      </c>
      <c r="M826" s="98" t="e">
        <f ca="1">IF(G825&gt;=10,(MID(L826,1,1)&amp;MID(L826,2,3)+1),CELL("address",AD826))</f>
        <v>#VALUE!</v>
      </c>
      <c r="N826" s="98" t="e">
        <f ca="1">IF(G825&gt;=11,(MID(M826,1,1)&amp;MID(M826,2,3)+1),CELL("address",AE826))</f>
        <v>#VALUE!</v>
      </c>
      <c r="O826" s="98" t="e">
        <f ca="1">IF(G825&gt;=12,(MID(N826,1,1)&amp;MID(N826,2,3)+1),CELL("address",AF826))</f>
        <v>#VALUE!</v>
      </c>
    </row>
    <row r="827" spans="1:15" ht="15" customHeight="1">
      <c r="A827" s="260"/>
      <c r="B827" s="260"/>
      <c r="C827" s="261"/>
      <c r="D827" s="81" t="s">
        <v>60</v>
      </c>
      <c r="E827" s="58">
        <v>0.113</v>
      </c>
      <c r="F827" s="204"/>
      <c r="G827" s="92" t="str">
        <f>CONCATENATE(D827," - ",E827,", ")</f>
        <v>Transformer body scrap - 0.113, </v>
      </c>
      <c r="H827" s="98"/>
      <c r="I827" s="98"/>
      <c r="J827" s="98"/>
      <c r="K827" s="98"/>
      <c r="L827" s="98"/>
      <c r="M827" s="98"/>
      <c r="N827" s="98"/>
      <c r="O827" s="98"/>
    </row>
    <row r="828" spans="1:15" ht="15" customHeight="1">
      <c r="A828" s="260"/>
      <c r="B828" s="260"/>
      <c r="C828" s="261"/>
      <c r="D828" s="81" t="s">
        <v>198</v>
      </c>
      <c r="E828" s="58">
        <v>0.1</v>
      </c>
      <c r="F828" s="204"/>
      <c r="G828" s="92" t="str">
        <f>CONCATENATE(D828," - ",E828,", ")</f>
        <v>G.I. Scrap - 0.1, </v>
      </c>
      <c r="H828" s="98"/>
      <c r="I828" s="98"/>
      <c r="J828" s="98"/>
      <c r="K828" s="98"/>
      <c r="L828" s="98"/>
      <c r="M828" s="98"/>
      <c r="N828" s="98"/>
      <c r="O828" s="98"/>
    </row>
    <row r="829" spans="1:15" ht="15" customHeight="1">
      <c r="A829" s="39"/>
      <c r="B829" s="41"/>
      <c r="C829" s="48"/>
      <c r="D829" s="41"/>
      <c r="E829" s="58"/>
      <c r="F829" s="98"/>
      <c r="G829" s="98"/>
      <c r="H829" s="98"/>
      <c r="I829" s="98"/>
      <c r="J829" s="98"/>
      <c r="K829" s="98"/>
      <c r="L829" s="98"/>
      <c r="M829" s="98"/>
      <c r="N829" s="98"/>
      <c r="O829" s="98"/>
    </row>
    <row r="830" spans="1:15" ht="15" customHeight="1">
      <c r="A830" s="53"/>
      <c r="B830" s="54"/>
      <c r="C830" s="54"/>
      <c r="D830" s="56"/>
      <c r="E830" s="57">
        <f>SUM(E832:E841)</f>
        <v>7.211000000000001</v>
      </c>
      <c r="F830" s="98"/>
      <c r="G830" s="98"/>
      <c r="H830" s="98"/>
      <c r="I830" s="98"/>
      <c r="J830" s="98"/>
      <c r="K830" s="98"/>
      <c r="L830" s="98"/>
      <c r="M830" s="98"/>
      <c r="N830" s="98"/>
      <c r="O830" s="98"/>
    </row>
    <row r="831" spans="1:18" ht="15" customHeight="1">
      <c r="A831" s="279" t="s">
        <v>5</v>
      </c>
      <c r="B831" s="279"/>
      <c r="C831" s="70" t="s">
        <v>17</v>
      </c>
      <c r="D831" s="221" t="s">
        <v>18</v>
      </c>
      <c r="E831" s="39" t="s">
        <v>7</v>
      </c>
      <c r="F831" s="98"/>
      <c r="G831" s="93" t="str">
        <f>CONCATENATE("Misc. Iron Scrap, Lying at ",C832,". Quantity in MT - ")</f>
        <v>Misc. Iron Scrap, Lying at CS Patiala. Quantity in MT - </v>
      </c>
      <c r="H831" s="268" t="str">
        <f ca="1">CONCATENATE(G831,G832,(INDIRECT(I832)),(INDIRECT(J832)),(INDIRECT(K832)),(INDIRECT(L832)),(INDIRECT(M832)),(INDIRECT(N832)),(INDIRECT(O832)),(INDIRECT(P832)),(INDIRECT(Q832)),(INDIRECT(R832)),".")</f>
        <v>Misc. Iron Scrap, Lying at CS Patiala. Quantity in MT - Iron scrap of Bush fixings - 0.93, MS iron scrap - 3.337, MS Rail scrap - 0.11, M.S. Girder Scrap - 0.15, MS Nuts &amp; bolts scrap - 0.345, Cast Iron Scrap - 0.078, Transformer body scrap - 1.37, Teen Patra scrap - 0.752, G.I. scrap - 0.12, G.I. Wire/GSL scrap - 0.019, .</v>
      </c>
      <c r="I831" s="98" t="str">
        <f aca="true" ca="1" t="array" ref="I831">CELL("address",INDEX(G831:G849,MATCH(TRUE,ISBLANK(G831:G849),0)))</f>
        <v>$G$842</v>
      </c>
      <c r="J831" s="98">
        <f aca="true" t="array" ref="J831">MATCH(TRUE,ISBLANK(G831:G849),0)</f>
        <v>12</v>
      </c>
      <c r="K831" s="98">
        <f>J831-3</f>
        <v>9</v>
      </c>
      <c r="L831" s="98"/>
      <c r="M831" s="98"/>
      <c r="N831" s="98"/>
      <c r="O831" s="98"/>
      <c r="P831" s="98"/>
      <c r="Q831" s="98"/>
      <c r="R831" s="98"/>
    </row>
    <row r="832" spans="1:18" ht="15" customHeight="1">
      <c r="A832" s="260" t="s">
        <v>385</v>
      </c>
      <c r="B832" s="260"/>
      <c r="C832" s="261" t="s">
        <v>52</v>
      </c>
      <c r="D832" s="42" t="s">
        <v>390</v>
      </c>
      <c r="E832" s="69">
        <v>0.93</v>
      </c>
      <c r="F832" s="98"/>
      <c r="G832" s="92" t="str">
        <f aca="true" t="shared" si="4" ref="G832:G841">CONCATENATE(D832," - ",E832,", ")</f>
        <v>Iron scrap of Bush fixings - 0.93, </v>
      </c>
      <c r="H832" s="268"/>
      <c r="I832" s="98" t="str">
        <f ca="1">IF(J831&gt;=3,(MID(I831,2,1)&amp;MID(I831,4,3)-K831),CELL("address",Z832))</f>
        <v>G833</v>
      </c>
      <c r="J832" s="98" t="str">
        <f ca="1">IF(J831&gt;=4,(MID(I832,1,1)&amp;MID(I832,2,3)+1),CELL("address",AA832))</f>
        <v>G834</v>
      </c>
      <c r="K832" s="98" t="str">
        <f ca="1">IF(J831&gt;=5,(MID(J832,1,1)&amp;MID(J832,2,3)+1),CELL("address",AB832))</f>
        <v>G835</v>
      </c>
      <c r="L832" s="98" t="str">
        <f ca="1">IF(J831&gt;=6,(MID(K832,1,1)&amp;MID(K832,2,3)+1),CELL("address",AC832))</f>
        <v>G836</v>
      </c>
      <c r="M832" s="98" t="str">
        <f ca="1">IF(J831&gt;=7,(MID(L832,1,1)&amp;MID(L832,2,3)+1),CELL("address",AD832))</f>
        <v>G837</v>
      </c>
      <c r="N832" s="98" t="str">
        <f ca="1">IF(J831&gt;=8,(MID(M832,1,1)&amp;MID(M832,2,3)+1),CELL("address",AE832))</f>
        <v>G838</v>
      </c>
      <c r="O832" s="98" t="str">
        <f ca="1">IF(J831&gt;=9,(MID(N832,1,1)&amp;MID(N832,2,3)+1),CELL("address",AF832))</f>
        <v>G839</v>
      </c>
      <c r="P832" s="98" t="str">
        <f ca="1">IF(J831&gt;=10,(MID(O832,1,1)&amp;MID(O832,2,3)+1),CELL("address",AG832))</f>
        <v>G840</v>
      </c>
      <c r="Q832" s="98" t="str">
        <f ca="1">IF(J831&gt;=11,(MID(P832,1,1)&amp;MID(P832,2,3)+1),CELL("address",AH832))</f>
        <v>G841</v>
      </c>
      <c r="R832" s="98" t="str">
        <f ca="1">IF(J831&gt;=12,(MID(Q832,1,1)&amp;MID(Q832,2,3)+1),CELL("address",AI832))</f>
        <v>G842</v>
      </c>
    </row>
    <row r="833" spans="1:15" ht="15" customHeight="1">
      <c r="A833" s="260"/>
      <c r="B833" s="260"/>
      <c r="C833" s="261"/>
      <c r="D833" s="42" t="s">
        <v>29</v>
      </c>
      <c r="E833" s="58">
        <v>3.337</v>
      </c>
      <c r="F833" s="204"/>
      <c r="G833" s="92" t="str">
        <f t="shared" si="4"/>
        <v>MS iron scrap - 3.337, </v>
      </c>
      <c r="H833" s="98"/>
      <c r="I833" s="98"/>
      <c r="J833" s="98"/>
      <c r="K833" s="98"/>
      <c r="L833" s="98"/>
      <c r="M833" s="98"/>
      <c r="N833" s="98"/>
      <c r="O833" s="98"/>
    </row>
    <row r="834" spans="1:15" ht="15" customHeight="1">
      <c r="A834" s="260"/>
      <c r="B834" s="260"/>
      <c r="C834" s="261"/>
      <c r="D834" s="42" t="s">
        <v>61</v>
      </c>
      <c r="E834" s="58">
        <v>0.11</v>
      </c>
      <c r="F834" s="204"/>
      <c r="G834" s="92" t="str">
        <f t="shared" si="4"/>
        <v>MS Rail scrap - 0.11, </v>
      </c>
      <c r="H834" s="98"/>
      <c r="I834" s="98"/>
      <c r="J834" s="98"/>
      <c r="K834" s="98"/>
      <c r="L834" s="98"/>
      <c r="M834" s="98"/>
      <c r="N834" s="98"/>
      <c r="O834" s="98"/>
    </row>
    <row r="835" spans="1:15" ht="15" customHeight="1">
      <c r="A835" s="260"/>
      <c r="B835" s="260"/>
      <c r="C835" s="261"/>
      <c r="D835" s="81" t="s">
        <v>564</v>
      </c>
      <c r="E835" s="58">
        <v>0.15</v>
      </c>
      <c r="F835" s="204"/>
      <c r="G835" s="92" t="str">
        <f t="shared" si="4"/>
        <v>M.S. Girder Scrap - 0.15, </v>
      </c>
      <c r="H835" s="98"/>
      <c r="I835" s="98"/>
      <c r="J835" s="98"/>
      <c r="K835" s="98"/>
      <c r="L835" s="98"/>
      <c r="M835" s="98"/>
      <c r="N835" s="98"/>
      <c r="O835" s="98"/>
    </row>
    <row r="836" spans="1:15" ht="15" customHeight="1">
      <c r="A836" s="260"/>
      <c r="B836" s="260"/>
      <c r="C836" s="261"/>
      <c r="D836" s="81" t="s">
        <v>565</v>
      </c>
      <c r="E836" s="58">
        <v>0.345</v>
      </c>
      <c r="F836" s="204"/>
      <c r="G836" s="92" t="str">
        <f t="shared" si="4"/>
        <v>MS Nuts &amp; bolts scrap - 0.345, </v>
      </c>
      <c r="H836" s="98"/>
      <c r="I836" s="98"/>
      <c r="J836" s="98"/>
      <c r="K836" s="98"/>
      <c r="L836" s="98"/>
      <c r="M836" s="98"/>
      <c r="N836" s="98"/>
      <c r="O836" s="98"/>
    </row>
    <row r="837" spans="1:15" ht="15" customHeight="1">
      <c r="A837" s="260"/>
      <c r="B837" s="260"/>
      <c r="C837" s="261"/>
      <c r="D837" s="81" t="s">
        <v>566</v>
      </c>
      <c r="E837" s="58">
        <v>0.078</v>
      </c>
      <c r="F837" s="204"/>
      <c r="G837" s="92" t="str">
        <f t="shared" si="4"/>
        <v>Cast Iron Scrap - 0.078, </v>
      </c>
      <c r="H837" s="98"/>
      <c r="I837" s="98"/>
      <c r="J837" s="98"/>
      <c r="K837" s="98"/>
      <c r="L837" s="98"/>
      <c r="M837" s="98"/>
      <c r="N837" s="98"/>
      <c r="O837" s="98"/>
    </row>
    <row r="838" spans="1:15" ht="15" customHeight="1">
      <c r="A838" s="260"/>
      <c r="B838" s="260"/>
      <c r="C838" s="261"/>
      <c r="D838" s="81" t="s">
        <v>60</v>
      </c>
      <c r="E838" s="58">
        <v>1.37</v>
      </c>
      <c r="F838" s="204"/>
      <c r="G838" s="92" t="str">
        <f t="shared" si="4"/>
        <v>Transformer body scrap - 1.37, </v>
      </c>
      <c r="H838" s="98"/>
      <c r="I838" s="98"/>
      <c r="J838" s="98"/>
      <c r="K838" s="98"/>
      <c r="L838" s="98"/>
      <c r="M838" s="98"/>
      <c r="N838" s="98"/>
      <c r="O838" s="98"/>
    </row>
    <row r="839" spans="1:15" ht="15" customHeight="1">
      <c r="A839" s="260"/>
      <c r="B839" s="260"/>
      <c r="C839" s="261"/>
      <c r="D839" s="81" t="s">
        <v>64</v>
      </c>
      <c r="E839" s="58">
        <v>0.752</v>
      </c>
      <c r="F839" s="204"/>
      <c r="G839" s="92" t="str">
        <f t="shared" si="4"/>
        <v>Teen Patra scrap - 0.752, </v>
      </c>
      <c r="H839" s="98"/>
      <c r="I839" s="98" t="e">
        <f ca="1">IF(G838&gt;=6,(MID(H839,1,1)&amp;MID(H839,2,3)+1),CELL("address",Z839))</f>
        <v>#VALUE!</v>
      </c>
      <c r="J839" s="98" t="e">
        <f ca="1">IF(G838&gt;=7,(MID(I839,1,1)&amp;MID(I839,2,3)+1),CELL("address",AA839))</f>
        <v>#VALUE!</v>
      </c>
      <c r="K839" s="98" t="e">
        <f ca="1">IF(G838&gt;=8,(MID(J839,1,1)&amp;MID(J839,2,3)+1),CELL("address",AB839))</f>
        <v>#VALUE!</v>
      </c>
      <c r="L839" s="98" t="e">
        <f ca="1">IF(G838&gt;=9,(MID(K839,1,1)&amp;MID(K839,2,3)+1),CELL("address",AC839))</f>
        <v>#VALUE!</v>
      </c>
      <c r="M839" s="98" t="e">
        <f ca="1">IF(G838&gt;=10,(MID(L839,1,1)&amp;MID(L839,2,3)+1),CELL("address",AD839))</f>
        <v>#VALUE!</v>
      </c>
      <c r="N839" s="98" t="e">
        <f ca="1">IF(G838&gt;=11,(MID(M839,1,1)&amp;MID(M839,2,3)+1),CELL("address",AE839))</f>
        <v>#VALUE!</v>
      </c>
      <c r="O839" s="98" t="e">
        <f ca="1">IF(G838&gt;=12,(MID(N839,1,1)&amp;MID(N839,2,3)+1),CELL("address",AF839))</f>
        <v>#VALUE!</v>
      </c>
    </row>
    <row r="840" spans="1:15" ht="15" customHeight="1">
      <c r="A840" s="260"/>
      <c r="B840" s="260"/>
      <c r="C840" s="261"/>
      <c r="D840" s="81" t="s">
        <v>193</v>
      </c>
      <c r="E840" s="58">
        <v>0.12</v>
      </c>
      <c r="F840" s="204"/>
      <c r="G840" s="92" t="str">
        <f t="shared" si="4"/>
        <v>G.I. scrap - 0.12, </v>
      </c>
      <c r="H840" s="98"/>
      <c r="I840" s="98"/>
      <c r="J840" s="98"/>
      <c r="K840" s="98"/>
      <c r="L840" s="98"/>
      <c r="M840" s="98"/>
      <c r="N840" s="98"/>
      <c r="O840" s="98"/>
    </row>
    <row r="841" spans="1:15" ht="15" customHeight="1">
      <c r="A841" s="260"/>
      <c r="B841" s="260"/>
      <c r="C841" s="261"/>
      <c r="D841" s="81" t="s">
        <v>488</v>
      </c>
      <c r="E841" s="58">
        <v>0.019</v>
      </c>
      <c r="F841" s="204"/>
      <c r="G841" s="92" t="str">
        <f t="shared" si="4"/>
        <v>G.I. Wire/GSL scrap - 0.019, </v>
      </c>
      <c r="H841" s="98"/>
      <c r="I841" s="98"/>
      <c r="J841" s="98"/>
      <c r="K841" s="98"/>
      <c r="L841" s="98"/>
      <c r="M841" s="98"/>
      <c r="N841" s="98"/>
      <c r="O841" s="98"/>
    </row>
    <row r="842" spans="1:15" ht="15" customHeight="1">
      <c r="A842" s="39"/>
      <c r="B842" s="42"/>
      <c r="C842" s="238"/>
      <c r="D842" s="81"/>
      <c r="E842" s="58"/>
      <c r="F842" s="204"/>
      <c r="G842" s="211"/>
      <c r="H842" s="98"/>
      <c r="I842" s="98"/>
      <c r="J842" s="98"/>
      <c r="K842" s="98"/>
      <c r="L842" s="98"/>
      <c r="M842" s="98"/>
      <c r="N842" s="98"/>
      <c r="O842" s="98"/>
    </row>
    <row r="843" spans="1:15" ht="15" customHeight="1">
      <c r="A843" s="265"/>
      <c r="B843" s="266"/>
      <c r="C843" s="40"/>
      <c r="D843" s="56"/>
      <c r="E843" s="52">
        <f>SUM(E845:E848)</f>
        <v>7.513999999999999</v>
      </c>
      <c r="F843" s="98"/>
      <c r="G843" s="98"/>
      <c r="H843" s="98"/>
      <c r="I843" s="98"/>
      <c r="J843" s="98"/>
      <c r="K843" s="98"/>
      <c r="L843" s="98"/>
      <c r="M843" s="98"/>
      <c r="N843" s="98"/>
      <c r="O843" s="98"/>
    </row>
    <row r="844" spans="1:18" ht="15" customHeight="1">
      <c r="A844" s="260" t="s">
        <v>5</v>
      </c>
      <c r="B844" s="260"/>
      <c r="C844" s="40" t="s">
        <v>17</v>
      </c>
      <c r="D844" s="221" t="s">
        <v>18</v>
      </c>
      <c r="E844" s="39" t="s">
        <v>7</v>
      </c>
      <c r="F844" s="98"/>
      <c r="G844" s="93" t="str">
        <f>CONCATENATE("Misc. Iron Scrap, Lying at ",C845,". Quantity in MT - ")</f>
        <v>Misc. Iron Scrap, Lying at OL Malerkotla. Quantity in MT - </v>
      </c>
      <c r="H844" s="268" t="str">
        <f ca="1">CONCATENATE(G844,G845,(INDIRECT(I845)),(INDIRECT(J845)),(INDIRECT(K845)),(INDIRECT(L845)),(INDIRECT(M845)),(INDIRECT(N845)),(INDIRECT(O845)),(INDIRECT(P845)),(INDIRECT(Q845)),(INDIRECT(R845)),".")</f>
        <v>Misc. Iron Scrap, Lying at OL Malerkotla. Quantity in MT - MS iron scrap - 4.931, Transformer body scrap - 2.081, MS Rail scrap - 0.43, M.S. Nuts &amp; Bolts Scrap - 0.072, .</v>
      </c>
      <c r="I844" s="98" t="str">
        <f aca="true" ca="1" t="array" ref="I844">CELL("address",INDEX(G844:G862,MATCH(TRUE,ISBLANK(G844:G862),0)))</f>
        <v>$G$849</v>
      </c>
      <c r="J844" s="98">
        <f aca="true" t="array" ref="J844">MATCH(TRUE,ISBLANK(G844:G862),0)</f>
        <v>6</v>
      </c>
      <c r="K844" s="98">
        <f>J844-3</f>
        <v>3</v>
      </c>
      <c r="L844" s="98"/>
      <c r="M844" s="98"/>
      <c r="N844" s="98"/>
      <c r="O844" s="98"/>
      <c r="P844" s="98"/>
      <c r="Q844" s="98"/>
      <c r="R844" s="98"/>
    </row>
    <row r="845" spans="1:18" ht="15" customHeight="1">
      <c r="A845" s="260" t="s">
        <v>192</v>
      </c>
      <c r="B845" s="260"/>
      <c r="C845" s="261" t="s">
        <v>126</v>
      </c>
      <c r="D845" s="42" t="s">
        <v>29</v>
      </c>
      <c r="E845" s="69">
        <v>4.931</v>
      </c>
      <c r="F845" s="98"/>
      <c r="G845" s="92" t="str">
        <f>CONCATENATE(D845," - ",E845,", ")</f>
        <v>MS iron scrap - 4.931, </v>
      </c>
      <c r="H845" s="268"/>
      <c r="I845" s="98" t="str">
        <f ca="1">IF(J844&gt;=3,(MID(I844,2,1)&amp;MID(I844,4,3)-K844),CELL("address",Z845))</f>
        <v>G846</v>
      </c>
      <c r="J845" s="98" t="str">
        <f ca="1">IF(J844&gt;=4,(MID(I845,1,1)&amp;MID(I845,2,3)+1),CELL("address",AA845))</f>
        <v>G847</v>
      </c>
      <c r="K845" s="98" t="str">
        <f ca="1">IF(J844&gt;=5,(MID(J845,1,1)&amp;MID(J845,2,3)+1),CELL("address",AB845))</f>
        <v>G848</v>
      </c>
      <c r="L845" s="98" t="str">
        <f ca="1">IF(J844&gt;=6,(MID(K845,1,1)&amp;MID(K845,2,3)+1),CELL("address",AC845))</f>
        <v>G849</v>
      </c>
      <c r="M845" s="98" t="str">
        <f ca="1">IF(J844&gt;=7,(MID(L845,1,1)&amp;MID(L845,2,3)+1),CELL("address",AD845))</f>
        <v>$AD$845</v>
      </c>
      <c r="N845" s="98" t="str">
        <f ca="1">IF(J844&gt;=8,(MID(M845,1,1)&amp;MID(M845,2,3)+1),CELL("address",AE845))</f>
        <v>$AE$845</v>
      </c>
      <c r="O845" s="98" t="str">
        <f ca="1">IF(J844&gt;=9,(MID(N845,1,1)&amp;MID(N845,2,3)+1),CELL("address",AF845))</f>
        <v>$AF$845</v>
      </c>
      <c r="P845" s="98" t="str">
        <f ca="1">IF(J844&gt;=10,(MID(O845,1,1)&amp;MID(O845,2,3)+1),CELL("address",AG845))</f>
        <v>$AG$845</v>
      </c>
      <c r="Q845" s="98" t="str">
        <f ca="1">IF(J844&gt;=11,(MID(P845,1,1)&amp;MID(P845,2,3)+1),CELL("address",AH845))</f>
        <v>$AH$845</v>
      </c>
      <c r="R845" s="98" t="str">
        <f ca="1">IF(J844&gt;=12,(MID(Q845,1,1)&amp;MID(Q845,2,3)+1),CELL("address",AI845))</f>
        <v>$AI$845</v>
      </c>
    </row>
    <row r="846" spans="1:15" ht="15" customHeight="1">
      <c r="A846" s="260"/>
      <c r="B846" s="260"/>
      <c r="C846" s="261"/>
      <c r="D846" s="81" t="s">
        <v>60</v>
      </c>
      <c r="E846" s="69">
        <v>2.0809999999999995</v>
      </c>
      <c r="F846" s="98"/>
      <c r="G846" s="92" t="str">
        <f>CONCATENATE(D846," - ",E846,", ")</f>
        <v>Transformer body scrap - 2.081, </v>
      </c>
      <c r="H846" s="98"/>
      <c r="I846" s="98" t="e">
        <f ca="1">IF(G845&gt;=6,(MID(H846,1,1)&amp;MID(H846,2,3)+1),CELL("address",Z846))</f>
        <v>#VALUE!</v>
      </c>
      <c r="J846" s="98" t="e">
        <f ca="1">IF(G845&gt;=7,(MID(I846,1,1)&amp;MID(I846,2,3)+1),CELL("address",AA846))</f>
        <v>#VALUE!</v>
      </c>
      <c r="K846" s="98" t="e">
        <f ca="1">IF(G845&gt;=8,(MID(J846,1,1)&amp;MID(J846,2,3)+1),CELL("address",AB846))</f>
        <v>#VALUE!</v>
      </c>
      <c r="L846" s="98" t="e">
        <f ca="1">IF(G845&gt;=9,(MID(K846,1,1)&amp;MID(K846,2,3)+1),CELL("address",AC846))</f>
        <v>#VALUE!</v>
      </c>
      <c r="M846" s="98" t="e">
        <f ca="1">IF(G845&gt;=10,(MID(L846,1,1)&amp;MID(L846,2,3)+1),CELL("address",AD846))</f>
        <v>#VALUE!</v>
      </c>
      <c r="N846" s="98" t="e">
        <f ca="1">IF(G845&gt;=11,(MID(M846,1,1)&amp;MID(M846,2,3)+1),CELL("address",AE846))</f>
        <v>#VALUE!</v>
      </c>
      <c r="O846" s="98" t="e">
        <f ca="1">IF(G845&gt;=12,(MID(N846,1,1)&amp;MID(N846,2,3)+1),CELL("address",AF846))</f>
        <v>#VALUE!</v>
      </c>
    </row>
    <row r="847" spans="1:15" ht="15" customHeight="1">
      <c r="A847" s="260"/>
      <c r="B847" s="260"/>
      <c r="C847" s="261"/>
      <c r="D847" s="42" t="s">
        <v>61</v>
      </c>
      <c r="E847" s="58">
        <v>0.42999999999999994</v>
      </c>
      <c r="F847" s="98"/>
      <c r="G847" s="92" t="str">
        <f>CONCATENATE(D847," - ",E847,", ")</f>
        <v>MS Rail scrap - 0.43, </v>
      </c>
      <c r="H847" s="98"/>
      <c r="I847" s="98"/>
      <c r="J847" s="98"/>
      <c r="K847" s="98"/>
      <c r="L847" s="98"/>
      <c r="M847" s="98"/>
      <c r="N847" s="98"/>
      <c r="O847" s="98"/>
    </row>
    <row r="848" spans="1:15" ht="15" customHeight="1">
      <c r="A848" s="260"/>
      <c r="B848" s="260"/>
      <c r="C848" s="261"/>
      <c r="D848" s="81" t="s">
        <v>199</v>
      </c>
      <c r="E848" s="58">
        <v>0.072</v>
      </c>
      <c r="F848" s="98"/>
      <c r="G848" s="92" t="str">
        <f>CONCATENATE(D848," - ",E848,", ")</f>
        <v>M.S. Nuts &amp; Bolts Scrap - 0.072, </v>
      </c>
      <c r="H848" s="98"/>
      <c r="I848" s="98"/>
      <c r="J848" s="98"/>
      <c r="K848" s="98"/>
      <c r="L848" s="98"/>
      <c r="M848" s="98"/>
      <c r="N848" s="98"/>
      <c r="O848" s="98"/>
    </row>
    <row r="849" spans="1:15" ht="15" customHeight="1">
      <c r="A849" s="39"/>
      <c r="B849" s="41"/>
      <c r="C849" s="48"/>
      <c r="D849" s="38"/>
      <c r="E849" s="184"/>
      <c r="F849" s="98"/>
      <c r="G849" s="98"/>
      <c r="H849" s="98"/>
      <c r="I849" s="98"/>
      <c r="J849" s="98"/>
      <c r="K849" s="98"/>
      <c r="L849" s="98"/>
      <c r="M849" s="98"/>
      <c r="N849" s="98"/>
      <c r="O849" s="98"/>
    </row>
    <row r="850" spans="1:15" ht="15" customHeight="1">
      <c r="A850" s="53"/>
      <c r="B850" s="54"/>
      <c r="C850" s="54"/>
      <c r="D850" s="55"/>
      <c r="E850" s="167">
        <f>SUM(E852:E855)</f>
        <v>2.1209999999999996</v>
      </c>
      <c r="F850" s="98"/>
      <c r="G850" s="98"/>
      <c r="H850" s="98"/>
      <c r="I850" s="98"/>
      <c r="J850" s="98"/>
      <c r="K850" s="98"/>
      <c r="L850" s="98"/>
      <c r="M850" s="98"/>
      <c r="N850" s="98"/>
      <c r="O850" s="98"/>
    </row>
    <row r="851" spans="1:18" ht="15" customHeight="1">
      <c r="A851" s="260" t="s">
        <v>5</v>
      </c>
      <c r="B851" s="260"/>
      <c r="C851" s="40" t="s">
        <v>17</v>
      </c>
      <c r="D851" s="221" t="s">
        <v>18</v>
      </c>
      <c r="E851" s="39" t="s">
        <v>7</v>
      </c>
      <c r="F851" s="98"/>
      <c r="G851" s="93" t="str">
        <f>CONCATENATE("Misc. Iron Scrap, Lying at ",C852,". Quantity in MT - ")</f>
        <v>Misc. Iron Scrap, Lying at CS Malout. Quantity in MT - </v>
      </c>
      <c r="H851" s="268" t="str">
        <f ca="1">CONCATENATE(G851,G852,(INDIRECT(I852)),(INDIRECT(J852)),(INDIRECT(K852)),(INDIRECT(L852)),(INDIRECT(M852)),(INDIRECT(N852)),(INDIRECT(O852)),(INDIRECT(P852)),(INDIRECT(Q852)),(INDIRECT(R852)),".")</f>
        <v>Misc. Iron Scrap, Lying at CS Malout. Quantity in MT - MS iron scrap - 2.073, M.S. Nuts &amp; Bolts Scrap - 0.025, G.I. Scrap - 0.002, G.I. Wire/GSL scrap - 0.021, .</v>
      </c>
      <c r="I851" s="98" t="str">
        <f aca="true" ca="1" t="array" ref="I851">CELL("address",INDEX(G851:G869,MATCH(TRUE,ISBLANK(G851:G869),0)))</f>
        <v>$G$856</v>
      </c>
      <c r="J851" s="98">
        <f aca="true" t="array" ref="J851">MATCH(TRUE,ISBLANK(G851:G869),0)</f>
        <v>6</v>
      </c>
      <c r="K851" s="98">
        <f>J851-3</f>
        <v>3</v>
      </c>
      <c r="L851" s="98"/>
      <c r="M851" s="98"/>
      <c r="N851" s="98"/>
      <c r="O851" s="98"/>
      <c r="P851" s="98"/>
      <c r="Q851" s="98"/>
      <c r="R851" s="98"/>
    </row>
    <row r="852" spans="1:18" ht="15" customHeight="1">
      <c r="A852" s="260" t="s">
        <v>487</v>
      </c>
      <c r="B852" s="260"/>
      <c r="C852" s="261" t="s">
        <v>95</v>
      </c>
      <c r="D852" s="42" t="s">
        <v>29</v>
      </c>
      <c r="E852" s="69">
        <v>2.073</v>
      </c>
      <c r="F852" s="98"/>
      <c r="G852" s="92" t="str">
        <f>CONCATENATE(D852," - ",E852,", ")</f>
        <v>MS iron scrap - 2.073, </v>
      </c>
      <c r="H852" s="268"/>
      <c r="I852" s="98" t="str">
        <f ca="1">IF(J851&gt;=3,(MID(I851,2,1)&amp;MID(I851,4,3)-K851),CELL("address",Z852))</f>
        <v>G853</v>
      </c>
      <c r="J852" s="98" t="str">
        <f ca="1">IF(J851&gt;=4,(MID(I852,1,1)&amp;MID(I852,2,3)+1),CELL("address",AA852))</f>
        <v>G854</v>
      </c>
      <c r="K852" s="98" t="str">
        <f ca="1">IF(J851&gt;=5,(MID(J852,1,1)&amp;MID(J852,2,3)+1),CELL("address",AB852))</f>
        <v>G855</v>
      </c>
      <c r="L852" s="98" t="str">
        <f ca="1">IF(J851&gt;=6,(MID(K852,1,1)&amp;MID(K852,2,3)+1),CELL("address",AC852))</f>
        <v>G856</v>
      </c>
      <c r="M852" s="98" t="str">
        <f ca="1">IF(J851&gt;=7,(MID(L852,1,1)&amp;MID(L852,2,3)+1),CELL("address",AD852))</f>
        <v>$AD$852</v>
      </c>
      <c r="N852" s="98" t="str">
        <f ca="1">IF(J851&gt;=8,(MID(M852,1,1)&amp;MID(M852,2,3)+1),CELL("address",AE852))</f>
        <v>$AE$852</v>
      </c>
      <c r="O852" s="98" t="str">
        <f ca="1">IF(J851&gt;=9,(MID(N852,1,1)&amp;MID(N852,2,3)+1),CELL("address",AF852))</f>
        <v>$AF$852</v>
      </c>
      <c r="P852" s="98" t="str">
        <f ca="1">IF(J851&gt;=10,(MID(O852,1,1)&amp;MID(O852,2,3)+1),CELL("address",AG852))</f>
        <v>$AG$852</v>
      </c>
      <c r="Q852" s="98" t="str">
        <f ca="1">IF(J851&gt;=11,(MID(P852,1,1)&amp;MID(P852,2,3)+1),CELL("address",AH852))</f>
        <v>$AH$852</v>
      </c>
      <c r="R852" s="98" t="str">
        <f ca="1">IF(J851&gt;=12,(MID(Q852,1,1)&amp;MID(Q852,2,3)+1),CELL("address",AI852))</f>
        <v>$AI$852</v>
      </c>
    </row>
    <row r="853" spans="1:15" ht="15" customHeight="1">
      <c r="A853" s="260"/>
      <c r="B853" s="260"/>
      <c r="C853" s="261"/>
      <c r="D853" s="81" t="s">
        <v>199</v>
      </c>
      <c r="E853" s="69">
        <v>0.025</v>
      </c>
      <c r="F853" s="98"/>
      <c r="G853" s="92" t="str">
        <f>CONCATENATE(D853," - ",E853,", ")</f>
        <v>M.S. Nuts &amp; Bolts Scrap - 0.025, </v>
      </c>
      <c r="H853" s="98"/>
      <c r="I853" s="98"/>
      <c r="J853" s="98"/>
      <c r="K853" s="98"/>
      <c r="L853" s="98"/>
      <c r="M853" s="98"/>
      <c r="N853" s="98"/>
      <c r="O853" s="98"/>
    </row>
    <row r="854" spans="1:15" ht="15" customHeight="1">
      <c r="A854" s="260"/>
      <c r="B854" s="260"/>
      <c r="C854" s="261"/>
      <c r="D854" s="81" t="s">
        <v>198</v>
      </c>
      <c r="E854" s="58">
        <v>0.002</v>
      </c>
      <c r="F854" s="98"/>
      <c r="G854" s="92" t="str">
        <f>CONCATENATE(D854," - ",E854,", ")</f>
        <v>G.I. Scrap - 0.002, </v>
      </c>
      <c r="H854" s="98"/>
      <c r="I854" s="98"/>
      <c r="J854" s="98"/>
      <c r="K854" s="98"/>
      <c r="L854" s="98"/>
      <c r="M854" s="98"/>
      <c r="N854" s="98"/>
      <c r="O854" s="98"/>
    </row>
    <row r="855" spans="1:15" ht="15" customHeight="1">
      <c r="A855" s="260"/>
      <c r="B855" s="260"/>
      <c r="C855" s="261"/>
      <c r="D855" s="45" t="s">
        <v>488</v>
      </c>
      <c r="E855" s="58">
        <v>0.021</v>
      </c>
      <c r="F855" s="98"/>
      <c r="G855" s="92" t="str">
        <f>CONCATENATE(D855," - ",E855,", ")</f>
        <v>G.I. Wire/GSL scrap - 0.021, </v>
      </c>
      <c r="H855" s="98"/>
      <c r="I855" s="98"/>
      <c r="J855" s="98"/>
      <c r="K855" s="98"/>
      <c r="L855" s="98"/>
      <c r="M855" s="98"/>
      <c r="N855" s="98"/>
      <c r="O855" s="98"/>
    </row>
    <row r="856" spans="1:15" ht="15" customHeight="1">
      <c r="A856" s="39"/>
      <c r="B856" s="41"/>
      <c r="C856" s="48"/>
      <c r="D856" s="38"/>
      <c r="E856" s="184"/>
      <c r="F856" s="98"/>
      <c r="G856" s="98"/>
      <c r="H856" s="98"/>
      <c r="I856" s="98"/>
      <c r="J856" s="98"/>
      <c r="K856" s="98"/>
      <c r="L856" s="98"/>
      <c r="M856" s="98"/>
      <c r="N856" s="98"/>
      <c r="O856" s="98"/>
    </row>
    <row r="857" spans="1:15" ht="15" customHeight="1">
      <c r="A857" s="53"/>
      <c r="B857" s="54"/>
      <c r="C857" s="54"/>
      <c r="D857" s="55"/>
      <c r="E857" s="167">
        <f>SUM(E859:E862)</f>
        <v>2.7849999999999997</v>
      </c>
      <c r="F857" s="98"/>
      <c r="G857" s="98"/>
      <c r="H857" s="98"/>
      <c r="I857" s="98"/>
      <c r="J857" s="98"/>
      <c r="K857" s="98"/>
      <c r="L857" s="98"/>
      <c r="M857" s="98"/>
      <c r="N857" s="98"/>
      <c r="O857" s="98"/>
    </row>
    <row r="858" spans="1:18" ht="15" customHeight="1">
      <c r="A858" s="260" t="s">
        <v>5</v>
      </c>
      <c r="B858" s="260"/>
      <c r="C858" s="40" t="s">
        <v>17</v>
      </c>
      <c r="D858" s="221" t="s">
        <v>18</v>
      </c>
      <c r="E858" s="39" t="s">
        <v>7</v>
      </c>
      <c r="F858" s="98"/>
      <c r="G858" s="93" t="str">
        <f>CONCATENATE("Misc. Iron Scrap, Lying at ",C859,". Quantity in MT - ")</f>
        <v>Misc. Iron Scrap, Lying at CS Bathinda. Quantity in MT - </v>
      </c>
      <c r="H858" s="268" t="str">
        <f ca="1">CONCATENATE(G858,G859,(INDIRECT(I859)),(INDIRECT(J859)),(INDIRECT(K859)),(INDIRECT(L859)),(INDIRECT(M859)),(INDIRECT(N859)),(INDIRECT(O859)),(INDIRECT(P859)),(INDIRECT(Q859)),(INDIRECT(R859)),".")</f>
        <v>Misc. Iron Scrap, Lying at CS Bathinda. Quantity in MT - MS iron scrap - 1.912, MS Rail scrap - 0.8, Teen Patra scrap - 0.035, G.I. Scrap - 0.038, .</v>
      </c>
      <c r="I858" s="98" t="str">
        <f aca="true" ca="1" t="array" ref="I858">CELL("address",INDEX(G858:G876,MATCH(TRUE,ISBLANK(G858:G876),0)))</f>
        <v>$G$863</v>
      </c>
      <c r="J858" s="98">
        <f aca="true" t="array" ref="J858">MATCH(TRUE,ISBLANK(G858:G876),0)</f>
        <v>6</v>
      </c>
      <c r="K858" s="98">
        <f>J858-3</f>
        <v>3</v>
      </c>
      <c r="L858" s="98"/>
      <c r="M858" s="98"/>
      <c r="N858" s="98"/>
      <c r="O858" s="98"/>
      <c r="P858" s="98"/>
      <c r="Q858" s="98"/>
      <c r="R858" s="98"/>
    </row>
    <row r="859" spans="1:18" ht="15" customHeight="1">
      <c r="A859" s="260" t="s">
        <v>527</v>
      </c>
      <c r="B859" s="260"/>
      <c r="C859" s="261" t="s">
        <v>63</v>
      </c>
      <c r="D859" s="42" t="s">
        <v>29</v>
      </c>
      <c r="E859" s="69">
        <v>1.912</v>
      </c>
      <c r="F859" s="98"/>
      <c r="G859" s="92" t="str">
        <f>CONCATENATE(D859," - ",E859,", ")</f>
        <v>MS iron scrap - 1.912, </v>
      </c>
      <c r="H859" s="268"/>
      <c r="I859" s="98" t="str">
        <f ca="1">IF(J858&gt;=3,(MID(I858,2,1)&amp;MID(I858,4,3)-K858),CELL("address",Z859))</f>
        <v>G860</v>
      </c>
      <c r="J859" s="98" t="str">
        <f ca="1">IF(J858&gt;=4,(MID(I859,1,1)&amp;MID(I859,2,3)+1),CELL("address",AA859))</f>
        <v>G861</v>
      </c>
      <c r="K859" s="98" t="str">
        <f ca="1">IF(J858&gt;=5,(MID(J859,1,1)&amp;MID(J859,2,3)+1),CELL("address",AB859))</f>
        <v>G862</v>
      </c>
      <c r="L859" s="98" t="str">
        <f ca="1">IF(J858&gt;=6,(MID(K859,1,1)&amp;MID(K859,2,3)+1),CELL("address",AC859))</f>
        <v>G863</v>
      </c>
      <c r="M859" s="98" t="str">
        <f ca="1">IF(J858&gt;=7,(MID(L859,1,1)&amp;MID(L859,2,3)+1),CELL("address",AD859))</f>
        <v>$AD$859</v>
      </c>
      <c r="N859" s="98" t="str">
        <f ca="1">IF(J858&gt;=8,(MID(M859,1,1)&amp;MID(M859,2,3)+1),CELL("address",AE859))</f>
        <v>$AE$859</v>
      </c>
      <c r="O859" s="98" t="str">
        <f ca="1">IF(J858&gt;=9,(MID(N859,1,1)&amp;MID(N859,2,3)+1),CELL("address",AF859))</f>
        <v>$AF$859</v>
      </c>
      <c r="P859" s="98" t="str">
        <f ca="1">IF(J858&gt;=10,(MID(O859,1,1)&amp;MID(O859,2,3)+1),CELL("address",AG859))</f>
        <v>$AG$859</v>
      </c>
      <c r="Q859" s="98" t="str">
        <f ca="1">IF(J858&gt;=11,(MID(P859,1,1)&amp;MID(P859,2,3)+1),CELL("address",AH859))</f>
        <v>$AH$859</v>
      </c>
      <c r="R859" s="98" t="str">
        <f ca="1">IF(J858&gt;=12,(MID(Q859,1,1)&amp;MID(Q859,2,3)+1),CELL("address",AI859))</f>
        <v>$AI$859</v>
      </c>
    </row>
    <row r="860" spans="1:15" ht="15" customHeight="1">
      <c r="A860" s="260"/>
      <c r="B860" s="260"/>
      <c r="C860" s="261"/>
      <c r="D860" s="42" t="s">
        <v>61</v>
      </c>
      <c r="E860" s="69">
        <v>0.8</v>
      </c>
      <c r="F860" s="98"/>
      <c r="G860" s="92" t="str">
        <f>CONCATENATE(D860," - ",E860,", ")</f>
        <v>MS Rail scrap - 0.8, </v>
      </c>
      <c r="H860" s="98"/>
      <c r="I860" s="98" t="e">
        <f ca="1">IF(G859&gt;=6,(MID(H860,1,1)&amp;MID(H860,2,3)+1),CELL("address",Z860))</f>
        <v>#VALUE!</v>
      </c>
      <c r="J860" s="98" t="e">
        <f ca="1">IF(G859&gt;=7,(MID(I860,1,1)&amp;MID(I860,2,3)+1),CELL("address",AA860))</f>
        <v>#VALUE!</v>
      </c>
      <c r="K860" s="98" t="e">
        <f ca="1">IF(G859&gt;=8,(MID(J860,1,1)&amp;MID(J860,2,3)+1),CELL("address",AB860))</f>
        <v>#VALUE!</v>
      </c>
      <c r="L860" s="98" t="e">
        <f ca="1">IF(G859&gt;=9,(MID(K860,1,1)&amp;MID(K860,2,3)+1),CELL("address",AC860))</f>
        <v>#VALUE!</v>
      </c>
      <c r="M860" s="98" t="e">
        <f ca="1">IF(G859&gt;=10,(MID(L860,1,1)&amp;MID(L860,2,3)+1),CELL("address",AD860))</f>
        <v>#VALUE!</v>
      </c>
      <c r="N860" s="98" t="e">
        <f ca="1">IF(G859&gt;=11,(MID(M860,1,1)&amp;MID(M860,2,3)+1),CELL("address",AE860))</f>
        <v>#VALUE!</v>
      </c>
      <c r="O860" s="98" t="e">
        <f ca="1">IF(G859&gt;=12,(MID(N860,1,1)&amp;MID(N860,2,3)+1),CELL("address",AF860))</f>
        <v>#VALUE!</v>
      </c>
    </row>
    <row r="861" spans="1:15" ht="15" customHeight="1">
      <c r="A861" s="260"/>
      <c r="B861" s="260"/>
      <c r="C861" s="261"/>
      <c r="D861" s="45" t="s">
        <v>64</v>
      </c>
      <c r="E861" s="58">
        <v>0.035</v>
      </c>
      <c r="F861" s="98"/>
      <c r="G861" s="92" t="str">
        <f>CONCATENATE(D861," - ",E861,", ")</f>
        <v>Teen Patra scrap - 0.035, </v>
      </c>
      <c r="H861" s="98"/>
      <c r="I861" s="98"/>
      <c r="J861" s="98"/>
      <c r="K861" s="98"/>
      <c r="L861" s="98"/>
      <c r="M861" s="98"/>
      <c r="N861" s="98"/>
      <c r="O861" s="98"/>
    </row>
    <row r="862" spans="1:15" ht="15" customHeight="1">
      <c r="A862" s="260"/>
      <c r="B862" s="260"/>
      <c r="C862" s="261"/>
      <c r="D862" s="81" t="s">
        <v>198</v>
      </c>
      <c r="E862" s="58">
        <v>0.038</v>
      </c>
      <c r="F862" s="98"/>
      <c r="G862" s="92" t="str">
        <f>CONCATENATE(D862," - ",E862,", ")</f>
        <v>G.I. Scrap - 0.038, </v>
      </c>
      <c r="H862" s="98"/>
      <c r="I862" s="98"/>
      <c r="J862" s="98"/>
      <c r="K862" s="98"/>
      <c r="L862" s="98"/>
      <c r="M862" s="98"/>
      <c r="N862" s="98"/>
      <c r="O862" s="98"/>
    </row>
    <row r="863" spans="1:15" ht="15" customHeight="1">
      <c r="A863" s="39"/>
      <c r="B863" s="41"/>
      <c r="C863" s="48"/>
      <c r="D863" s="38"/>
      <c r="E863" s="184"/>
      <c r="F863" s="98"/>
      <c r="G863" s="98"/>
      <c r="H863" s="98"/>
      <c r="I863" s="98"/>
      <c r="J863" s="98"/>
      <c r="K863" s="98"/>
      <c r="L863" s="98"/>
      <c r="M863" s="98"/>
      <c r="N863" s="98"/>
      <c r="O863" s="98"/>
    </row>
    <row r="864" spans="1:15" ht="15" customHeight="1">
      <c r="A864" s="53"/>
      <c r="B864" s="54"/>
      <c r="C864" s="54"/>
      <c r="D864" s="56"/>
      <c r="E864" s="52">
        <f>SUM(E866:E867)</f>
        <v>0.7769999999999999</v>
      </c>
      <c r="F864" s="98"/>
      <c r="G864" s="98"/>
      <c r="H864" s="98"/>
      <c r="I864" s="98"/>
      <c r="J864" s="98"/>
      <c r="K864" s="98"/>
      <c r="L864" s="98"/>
      <c r="M864" s="98"/>
      <c r="N864" s="98"/>
      <c r="O864" s="98"/>
    </row>
    <row r="865" spans="1:18" ht="15" customHeight="1">
      <c r="A865" s="341" t="s">
        <v>5</v>
      </c>
      <c r="B865" s="341"/>
      <c r="C865" s="23" t="s">
        <v>17</v>
      </c>
      <c r="D865" s="72" t="s">
        <v>18</v>
      </c>
      <c r="E865" s="23" t="s">
        <v>7</v>
      </c>
      <c r="F865" s="98"/>
      <c r="G865" s="93" t="str">
        <f>CONCATENATE("Misc. Iron Scrap, Lying at ",C866,". Quantity in MT - ")</f>
        <v>Misc. Iron Scrap, Lying at OL Moga. Quantity in MT - </v>
      </c>
      <c r="H865" s="268" t="str">
        <f ca="1">CONCATENATE(G865,G866,(INDIRECT(I866)),(INDIRECT(J866)),(INDIRECT(K866)),(INDIRECT(L866)),(INDIRECT(M866)),(INDIRECT(N866)),(INDIRECT(O866)),(INDIRECT(P866)),(INDIRECT(Q866)),(INDIRECT(R866)),".")</f>
        <v>Misc. Iron Scrap, Lying at OL Moga. Quantity in MT - MS iron scrap - 0.697, Transformer body scrap - 0.08, .</v>
      </c>
      <c r="I865" s="98" t="str">
        <f aca="true" ca="1" t="array" ref="I865">CELL("address",INDEX(G865:G883,MATCH(TRUE,ISBLANK(G865:G883),0)))</f>
        <v>$G$868</v>
      </c>
      <c r="J865" s="98">
        <f aca="true" t="array" ref="J865">MATCH(TRUE,ISBLANK(G865:G883),0)</f>
        <v>4</v>
      </c>
      <c r="K865" s="98">
        <f>J865-3</f>
        <v>1</v>
      </c>
      <c r="L865" s="98"/>
      <c r="M865" s="98"/>
      <c r="N865" s="98"/>
      <c r="O865" s="98"/>
      <c r="P865" s="98"/>
      <c r="Q865" s="98"/>
      <c r="R865" s="98"/>
    </row>
    <row r="866" spans="1:18" ht="15" customHeight="1">
      <c r="A866" s="260" t="s">
        <v>528</v>
      </c>
      <c r="B866" s="260"/>
      <c r="C866" s="261" t="s">
        <v>269</v>
      </c>
      <c r="D866" s="42" t="s">
        <v>29</v>
      </c>
      <c r="E866" s="46">
        <v>0.697</v>
      </c>
      <c r="F866" s="98"/>
      <c r="G866" s="92" t="str">
        <f>CONCATENATE(D866," - ",E866,", ")</f>
        <v>MS iron scrap - 0.697, </v>
      </c>
      <c r="H866" s="268"/>
      <c r="I866" s="98" t="str">
        <f ca="1">IF(J865&gt;=3,(MID(I865,2,1)&amp;MID(I865,4,3)-K865),CELL("address",Z866))</f>
        <v>G867</v>
      </c>
      <c r="J866" s="98" t="str">
        <f ca="1">IF(J865&gt;=4,(MID(I866,1,1)&amp;MID(I866,2,3)+1),CELL("address",AA866))</f>
        <v>G868</v>
      </c>
      <c r="K866" s="98" t="str">
        <f ca="1">IF(J865&gt;=5,(MID(J866,1,1)&amp;MID(J866,2,3)+1),CELL("address",AB866))</f>
        <v>$AB$866</v>
      </c>
      <c r="L866" s="98" t="str">
        <f ca="1">IF(J865&gt;=6,(MID(K866,1,1)&amp;MID(K866,2,3)+1),CELL("address",AC866))</f>
        <v>$AC$866</v>
      </c>
      <c r="M866" s="98" t="str">
        <f ca="1">IF(J865&gt;=7,(MID(L866,1,1)&amp;MID(L866,2,3)+1),CELL("address",AD866))</f>
        <v>$AD$866</v>
      </c>
      <c r="N866" s="98" t="str">
        <f ca="1">IF(J865&gt;=8,(MID(M866,1,1)&amp;MID(M866,2,3)+1),CELL("address",AE866))</f>
        <v>$AE$866</v>
      </c>
      <c r="O866" s="98" t="str">
        <f ca="1">IF(J865&gt;=9,(MID(N866,1,1)&amp;MID(N866,2,3)+1),CELL("address",AF866))</f>
        <v>$AF$866</v>
      </c>
      <c r="P866" s="98" t="str">
        <f ca="1">IF(J865&gt;=10,(MID(O866,1,1)&amp;MID(O866,2,3)+1),CELL("address",AG866))</f>
        <v>$AG$866</v>
      </c>
      <c r="Q866" s="98" t="str">
        <f ca="1">IF(J865&gt;=11,(MID(P866,1,1)&amp;MID(P866,2,3)+1),CELL("address",AH866))</f>
        <v>$AH$866</v>
      </c>
      <c r="R866" s="98" t="str">
        <f ca="1">IF(J865&gt;=12,(MID(Q866,1,1)&amp;MID(Q866,2,3)+1),CELL("address",AI866))</f>
        <v>$AI$866</v>
      </c>
    </row>
    <row r="867" spans="1:15" ht="15" customHeight="1">
      <c r="A867" s="260"/>
      <c r="B867" s="260"/>
      <c r="C867" s="261"/>
      <c r="D867" s="81" t="s">
        <v>60</v>
      </c>
      <c r="E867" s="46">
        <v>0.08</v>
      </c>
      <c r="F867" s="98"/>
      <c r="G867" s="92" t="str">
        <f>CONCATENATE(D867," - ",E867,", ")</f>
        <v>Transformer body scrap - 0.08, </v>
      </c>
      <c r="H867" s="98"/>
      <c r="I867" s="98"/>
      <c r="J867" s="98"/>
      <c r="K867" s="98"/>
      <c r="L867" s="98"/>
      <c r="M867" s="98"/>
      <c r="N867" s="98"/>
      <c r="O867" s="98"/>
    </row>
    <row r="868" spans="1:15" ht="15" customHeight="1">
      <c r="A868" s="39"/>
      <c r="B868" s="41"/>
      <c r="C868" s="48"/>
      <c r="D868" s="38"/>
      <c r="E868" s="184"/>
      <c r="F868" s="98"/>
      <c r="G868" s="98"/>
      <c r="H868" s="98"/>
      <c r="I868" s="98"/>
      <c r="J868" s="98"/>
      <c r="K868" s="98"/>
      <c r="L868" s="98"/>
      <c r="M868" s="98"/>
      <c r="N868" s="98"/>
      <c r="O868" s="98"/>
    </row>
    <row r="869" spans="1:15" ht="15" customHeight="1">
      <c r="A869" s="53"/>
      <c r="B869" s="54"/>
      <c r="C869" s="54"/>
      <c r="D869" s="55"/>
      <c r="E869" s="167">
        <f>SUM(E871:E872)</f>
        <v>1.035</v>
      </c>
      <c r="F869" s="98"/>
      <c r="G869" s="98"/>
      <c r="H869" s="98"/>
      <c r="I869" s="98"/>
      <c r="J869" s="98"/>
      <c r="K869" s="98"/>
      <c r="L869" s="98"/>
      <c r="M869" s="98"/>
      <c r="N869" s="98"/>
      <c r="O869" s="98"/>
    </row>
    <row r="870" spans="1:18" ht="15" customHeight="1">
      <c r="A870" s="260" t="s">
        <v>5</v>
      </c>
      <c r="B870" s="260"/>
      <c r="C870" s="40" t="s">
        <v>17</v>
      </c>
      <c r="D870" s="221" t="s">
        <v>18</v>
      </c>
      <c r="E870" s="39" t="s">
        <v>7</v>
      </c>
      <c r="F870" s="98"/>
      <c r="G870" s="93" t="str">
        <f>CONCATENATE("Misc. Iron Scrap, Lying at ",C871,". Quantity in MT - ")</f>
        <v>Misc. Iron Scrap, Lying at OL Patran. Quantity in MT - </v>
      </c>
      <c r="H870" s="268" t="str">
        <f ca="1">CONCATENATE(G870,G871,(INDIRECT(I871)),(INDIRECT(J871)),(INDIRECT(K871)),(INDIRECT(L871)),(INDIRECT(M871)),(INDIRECT(N871)),(INDIRECT(O871)),(INDIRECT(P871)),(INDIRECT(Q871)),(INDIRECT(R871)),".")</f>
        <v>Misc. Iron Scrap, Lying at OL Patran. Quantity in MT - MS iron scrap - 1.005, Teen Patra scrap - 0.03, .</v>
      </c>
      <c r="I870" s="98" t="str">
        <f aca="true" ca="1" t="array" ref="I870">CELL("address",INDEX(G870:G897,MATCH(TRUE,ISBLANK(G870:G897),0)))</f>
        <v>$G$873</v>
      </c>
      <c r="J870" s="98">
        <f aca="true" t="array" ref="J870">MATCH(TRUE,ISBLANK(G870:G897),0)</f>
        <v>4</v>
      </c>
      <c r="K870" s="98">
        <f>J870-3</f>
        <v>1</v>
      </c>
      <c r="L870" s="98"/>
      <c r="M870" s="98"/>
      <c r="N870" s="98"/>
      <c r="O870" s="98"/>
      <c r="P870" s="98"/>
      <c r="Q870" s="98"/>
      <c r="R870" s="98"/>
    </row>
    <row r="871" spans="1:18" ht="15" customHeight="1">
      <c r="A871" s="260" t="s">
        <v>533</v>
      </c>
      <c r="B871" s="260"/>
      <c r="C871" s="261" t="s">
        <v>102</v>
      </c>
      <c r="D871" s="42" t="s">
        <v>29</v>
      </c>
      <c r="E871" s="69">
        <v>1.005</v>
      </c>
      <c r="F871" s="98"/>
      <c r="G871" s="92" t="str">
        <f>CONCATENATE(D871," - ",E871,", ")</f>
        <v>MS iron scrap - 1.005, </v>
      </c>
      <c r="H871" s="268"/>
      <c r="I871" s="98" t="str">
        <f ca="1">IF(J870&gt;=3,(MID(I870,2,1)&amp;MID(I870,4,3)-K870),CELL("address",Z871))</f>
        <v>G872</v>
      </c>
      <c r="J871" s="98" t="str">
        <f ca="1">IF(J870&gt;=4,(MID(I871,1,1)&amp;MID(I871,2,3)+1),CELL("address",AA871))</f>
        <v>G873</v>
      </c>
      <c r="K871" s="98" t="str">
        <f ca="1">IF(J870&gt;=5,(MID(J871,1,1)&amp;MID(J871,2,3)+1),CELL("address",AB871))</f>
        <v>$AB$871</v>
      </c>
      <c r="L871" s="98" t="str">
        <f ca="1">IF(J870&gt;=6,(MID(K871,1,1)&amp;MID(K871,2,3)+1),CELL("address",AC871))</f>
        <v>$AC$871</v>
      </c>
      <c r="M871" s="98" t="str">
        <f ca="1">IF(J870&gt;=7,(MID(L871,1,1)&amp;MID(L871,2,3)+1),CELL("address",AD871))</f>
        <v>$AD$871</v>
      </c>
      <c r="N871" s="98" t="str">
        <f ca="1">IF(J870&gt;=8,(MID(M871,1,1)&amp;MID(M871,2,3)+1),CELL("address",AE871))</f>
        <v>$AE$871</v>
      </c>
      <c r="O871" s="98" t="str">
        <f ca="1">IF(J870&gt;=9,(MID(N871,1,1)&amp;MID(N871,2,3)+1),CELL("address",AF871))</f>
        <v>$AF$871</v>
      </c>
      <c r="P871" s="98" t="str">
        <f ca="1">IF(J870&gt;=10,(MID(O871,1,1)&amp;MID(O871,2,3)+1),CELL("address",AG871))</f>
        <v>$AG$871</v>
      </c>
      <c r="Q871" s="98" t="str">
        <f ca="1">IF(J870&gt;=11,(MID(P871,1,1)&amp;MID(P871,2,3)+1),CELL("address",AH871))</f>
        <v>$AH$871</v>
      </c>
      <c r="R871" s="98" t="str">
        <f ca="1">IF(J870&gt;=12,(MID(Q871,1,1)&amp;MID(Q871,2,3)+1),CELL("address",AI871))</f>
        <v>$AI$871</v>
      </c>
    </row>
    <row r="872" spans="1:15" ht="15" customHeight="1">
      <c r="A872" s="260"/>
      <c r="B872" s="260"/>
      <c r="C872" s="261"/>
      <c r="D872" s="45" t="s">
        <v>64</v>
      </c>
      <c r="E872" s="69">
        <v>0.03</v>
      </c>
      <c r="F872" s="98"/>
      <c r="G872" s="92" t="str">
        <f>CONCATENATE(D872," - ",E872,", ")</f>
        <v>Teen Patra scrap - 0.03, </v>
      </c>
      <c r="H872" s="98"/>
      <c r="I872" s="98"/>
      <c r="J872" s="98"/>
      <c r="K872" s="98"/>
      <c r="L872" s="98"/>
      <c r="M872" s="98"/>
      <c r="N872" s="98"/>
      <c r="O872" s="98"/>
    </row>
    <row r="873" spans="1:15" ht="15" customHeight="1">
      <c r="A873" s="39"/>
      <c r="B873" s="41"/>
      <c r="C873" s="48"/>
      <c r="D873" s="199"/>
      <c r="E873" s="58"/>
      <c r="F873" s="98"/>
      <c r="G873" s="98"/>
      <c r="H873" s="98"/>
      <c r="I873" s="98"/>
      <c r="J873" s="98"/>
      <c r="K873" s="98"/>
      <c r="L873" s="98"/>
      <c r="M873" s="98"/>
      <c r="N873" s="98"/>
      <c r="O873" s="98"/>
    </row>
    <row r="874" spans="1:15" ht="15" customHeight="1">
      <c r="A874" s="53"/>
      <c r="B874" s="54"/>
      <c r="C874" s="54"/>
      <c r="D874" s="55"/>
      <c r="E874" s="167">
        <f>SUM(E876:E879)</f>
        <v>3.057</v>
      </c>
      <c r="F874" s="98"/>
      <c r="G874" s="98"/>
      <c r="H874" s="98"/>
      <c r="I874" s="98"/>
      <c r="J874" s="98"/>
      <c r="K874" s="98"/>
      <c r="L874" s="98"/>
      <c r="M874" s="98"/>
      <c r="N874" s="98"/>
      <c r="O874" s="98"/>
    </row>
    <row r="875" spans="1:18" ht="15" customHeight="1">
      <c r="A875" s="260" t="s">
        <v>5</v>
      </c>
      <c r="B875" s="260"/>
      <c r="C875" s="40" t="s">
        <v>17</v>
      </c>
      <c r="D875" s="221" t="s">
        <v>18</v>
      </c>
      <c r="E875" s="39" t="s">
        <v>7</v>
      </c>
      <c r="F875" s="98"/>
      <c r="G875" s="93" t="str">
        <f>CONCATENATE("Misc. Iron Scrap, Lying at ",C876,". Quantity in MT - ")</f>
        <v>Misc. Iron Scrap, Lying at OL Ropar. Quantity in MT - </v>
      </c>
      <c r="H875" s="268" t="str">
        <f ca="1">CONCATENATE(G875,G876,(INDIRECT(I876)),(INDIRECT(J876)),(INDIRECT(K876)),(INDIRECT(L876)),(INDIRECT(M876)),(INDIRECT(N876)),(INDIRECT(O876)),(INDIRECT(P876)),(INDIRECT(Q876)),(INDIRECT(R876)),".")</f>
        <v>Misc. Iron Scrap, Lying at OL Ropar. Quantity in MT - MS iron scrap - 1.384, MS Rail scrap - 0.177, Transformer body scrap - 1.409, G.I. Scrap - 0.087, .</v>
      </c>
      <c r="I875" s="98" t="str">
        <f aca="true" ca="1" t="array" ref="I875">CELL("address",INDEX(G875:G902,MATCH(TRUE,ISBLANK(G875:G902),0)))</f>
        <v>$G$880</v>
      </c>
      <c r="J875" s="98">
        <f aca="true" t="array" ref="J875">MATCH(TRUE,ISBLANK(G875:G902),0)</f>
        <v>6</v>
      </c>
      <c r="K875" s="98">
        <f>J875-3</f>
        <v>3</v>
      </c>
      <c r="L875" s="98"/>
      <c r="M875" s="98"/>
      <c r="N875" s="98"/>
      <c r="O875" s="98"/>
      <c r="P875" s="98"/>
      <c r="Q875" s="98"/>
      <c r="R875" s="98"/>
    </row>
    <row r="876" spans="1:18" ht="15" customHeight="1">
      <c r="A876" s="260" t="s">
        <v>534</v>
      </c>
      <c r="B876" s="260"/>
      <c r="C876" s="261" t="s">
        <v>98</v>
      </c>
      <c r="D876" s="42" t="s">
        <v>29</v>
      </c>
      <c r="E876" s="69">
        <v>1.384</v>
      </c>
      <c r="F876" s="204"/>
      <c r="G876" s="92" t="str">
        <f>CONCATENATE(D876," - ",E876,", ")</f>
        <v>MS iron scrap - 1.384, </v>
      </c>
      <c r="H876" s="268"/>
      <c r="I876" s="98" t="str">
        <f ca="1">IF(J875&gt;=3,(MID(I875,2,1)&amp;MID(I875,4,3)-K875),CELL("address",Z876))</f>
        <v>G877</v>
      </c>
      <c r="J876" s="98" t="str">
        <f ca="1">IF(J875&gt;=4,(MID(I876,1,1)&amp;MID(I876,2,3)+1),CELL("address",AA876))</f>
        <v>G878</v>
      </c>
      <c r="K876" s="98" t="str">
        <f ca="1">IF(J875&gt;=5,(MID(J876,1,1)&amp;MID(J876,2,3)+1),CELL("address",AB876))</f>
        <v>G879</v>
      </c>
      <c r="L876" s="98" t="str">
        <f ca="1">IF(J875&gt;=6,(MID(K876,1,1)&amp;MID(K876,2,3)+1),CELL("address",AC876))</f>
        <v>G880</v>
      </c>
      <c r="M876" s="98" t="str">
        <f ca="1">IF(J875&gt;=7,(MID(L876,1,1)&amp;MID(L876,2,3)+1),CELL("address",AD876))</f>
        <v>$AD$876</v>
      </c>
      <c r="N876" s="98" t="str">
        <f ca="1">IF(J875&gt;=8,(MID(M876,1,1)&amp;MID(M876,2,3)+1),CELL("address",AE876))</f>
        <v>$AE$876</v>
      </c>
      <c r="O876" s="98" t="str">
        <f ca="1">IF(J875&gt;=9,(MID(N876,1,1)&amp;MID(N876,2,3)+1),CELL("address",AF876))</f>
        <v>$AF$876</v>
      </c>
      <c r="P876" s="98" t="str">
        <f ca="1">IF(J875&gt;=10,(MID(O876,1,1)&amp;MID(O876,2,3)+1),CELL("address",AG876))</f>
        <v>$AG$876</v>
      </c>
      <c r="Q876" s="98" t="str">
        <f ca="1">IF(J875&gt;=11,(MID(P876,1,1)&amp;MID(P876,2,3)+1),CELL("address",AH876))</f>
        <v>$AH$876</v>
      </c>
      <c r="R876" s="98" t="str">
        <f ca="1">IF(J875&gt;=12,(MID(Q876,1,1)&amp;MID(Q876,2,3)+1),CELL("address",AI876))</f>
        <v>$AI$876</v>
      </c>
    </row>
    <row r="877" spans="1:15" ht="15" customHeight="1">
      <c r="A877" s="260"/>
      <c r="B877" s="260"/>
      <c r="C877" s="261"/>
      <c r="D877" s="42" t="s">
        <v>61</v>
      </c>
      <c r="E877" s="69">
        <v>0.177</v>
      </c>
      <c r="F877" s="204"/>
      <c r="G877" s="92" t="str">
        <f>CONCATENATE(D877," - ",E877,", ")</f>
        <v>MS Rail scrap - 0.177, </v>
      </c>
      <c r="H877" s="98"/>
      <c r="I877" s="98"/>
      <c r="J877" s="98"/>
      <c r="K877" s="98"/>
      <c r="L877" s="98"/>
      <c r="M877" s="98"/>
      <c r="N877" s="98"/>
      <c r="O877" s="98"/>
    </row>
    <row r="878" spans="1:15" ht="15" customHeight="1">
      <c r="A878" s="260"/>
      <c r="B878" s="260"/>
      <c r="C878" s="261"/>
      <c r="D878" s="81" t="s">
        <v>60</v>
      </c>
      <c r="E878" s="58">
        <v>1.409</v>
      </c>
      <c r="F878" s="204"/>
      <c r="G878" s="92" t="str">
        <f>CONCATENATE(D878," - ",E878,", ")</f>
        <v>Transformer body scrap - 1.409, </v>
      </c>
      <c r="H878" s="98"/>
      <c r="I878" s="98"/>
      <c r="J878" s="98"/>
      <c r="K878" s="98"/>
      <c r="L878" s="98"/>
      <c r="M878" s="98"/>
      <c r="N878" s="98"/>
      <c r="O878" s="98"/>
    </row>
    <row r="879" spans="1:15" ht="15" customHeight="1">
      <c r="A879" s="260"/>
      <c r="B879" s="260"/>
      <c r="C879" s="261"/>
      <c r="D879" s="81" t="s">
        <v>198</v>
      </c>
      <c r="E879" s="58">
        <v>0.087</v>
      </c>
      <c r="F879" s="204"/>
      <c r="G879" s="92" t="str">
        <f>CONCATENATE(D879," - ",E879,", ")</f>
        <v>G.I. Scrap - 0.087, </v>
      </c>
      <c r="H879" s="98"/>
      <c r="I879" s="98"/>
      <c r="J879" s="98"/>
      <c r="K879" s="98"/>
      <c r="L879" s="98"/>
      <c r="M879" s="98"/>
      <c r="N879" s="98"/>
      <c r="O879" s="98"/>
    </row>
    <row r="880" spans="1:15" ht="15" customHeight="1">
      <c r="A880" s="39"/>
      <c r="B880" s="41"/>
      <c r="C880" s="48"/>
      <c r="D880" s="38"/>
      <c r="E880" s="184"/>
      <c r="F880" s="98"/>
      <c r="G880" s="98"/>
      <c r="H880" s="98"/>
      <c r="I880" s="98"/>
      <c r="J880" s="98"/>
      <c r="K880" s="98"/>
      <c r="L880" s="98"/>
      <c r="M880" s="98"/>
      <c r="N880" s="98"/>
      <c r="O880" s="98"/>
    </row>
    <row r="881" spans="1:8" ht="18.75" customHeight="1">
      <c r="A881" s="53"/>
      <c r="B881" s="54"/>
      <c r="C881" s="54"/>
      <c r="D881" s="55"/>
      <c r="E881" s="167">
        <f>SUM(E883:E885)</f>
        <v>2.501</v>
      </c>
      <c r="H881" s="1"/>
    </row>
    <row r="882" spans="1:18" ht="15" customHeight="1">
      <c r="A882" s="260" t="s">
        <v>5</v>
      </c>
      <c r="B882" s="260"/>
      <c r="C882" s="40" t="s">
        <v>17</v>
      </c>
      <c r="D882" s="221" t="s">
        <v>18</v>
      </c>
      <c r="E882" s="39" t="s">
        <v>7</v>
      </c>
      <c r="G882" s="93" t="str">
        <f>CONCATENATE("Misc. Iron Scrap, Lying at ",C883,". Quantity in MT - ")</f>
        <v>Misc. Iron Scrap, Lying at OL Nabha. Quantity in MT - </v>
      </c>
      <c r="H882" s="268" t="str">
        <f ca="1">CONCATENATE(G882,G883,(INDIRECT(I883)),(INDIRECT(J883)),(INDIRECT(K883)),(INDIRECT(L883)),(INDIRECT(M883)),(INDIRECT(N883)),(INDIRECT(O883)),(INDIRECT(P883)),(INDIRECT(Q883)),(INDIRECT(R883)),".")</f>
        <v>Misc. Iron Scrap, Lying at OL Nabha. Quantity in MT - MS iron scrap - 1.675, Transformer body scrap - 0.559, Lamination scrap - 0.267, .</v>
      </c>
      <c r="I882" s="98" t="str">
        <f aca="true" ca="1" t="array" ref="I882">CELL("address",INDEX(G882:G908,MATCH(TRUE,ISBLANK(G882:G908),0)))</f>
        <v>$G$886</v>
      </c>
      <c r="J882" s="98">
        <f aca="true" t="array" ref="J882">MATCH(TRUE,ISBLANK(G882:G908),0)</f>
        <v>5</v>
      </c>
      <c r="K882" s="98">
        <f>J882-3</f>
        <v>2</v>
      </c>
      <c r="L882" s="98"/>
      <c r="M882" s="98"/>
      <c r="N882" s="98"/>
      <c r="O882" s="98"/>
      <c r="P882" s="98"/>
      <c r="Q882" s="98"/>
      <c r="R882" s="98"/>
    </row>
    <row r="883" spans="1:18" ht="15" customHeight="1">
      <c r="A883" s="260" t="s">
        <v>568</v>
      </c>
      <c r="B883" s="260"/>
      <c r="C883" s="261" t="s">
        <v>104</v>
      </c>
      <c r="D883" s="42" t="s">
        <v>29</v>
      </c>
      <c r="E883" s="69">
        <v>1.675</v>
      </c>
      <c r="G883" s="92" t="str">
        <f>CONCATENATE(D883," - ",E883,", ")</f>
        <v>MS iron scrap - 1.675, </v>
      </c>
      <c r="H883" s="268"/>
      <c r="I883" s="98" t="str">
        <f ca="1">IF(J882&gt;=3,(MID(I882,2,1)&amp;MID(I882,4,3)-K882),CELL("address",Z883))</f>
        <v>G884</v>
      </c>
      <c r="J883" s="98" t="str">
        <f ca="1">IF(J882&gt;=4,(MID(I883,1,1)&amp;MID(I883,2,3)+1),CELL("address",AA883))</f>
        <v>G885</v>
      </c>
      <c r="K883" s="98" t="str">
        <f ca="1">IF(J882&gt;=5,(MID(J883,1,1)&amp;MID(J883,2,3)+1),CELL("address",AB883))</f>
        <v>G886</v>
      </c>
      <c r="L883" s="98" t="str">
        <f ca="1">IF(J882&gt;=6,(MID(K883,1,1)&amp;MID(K883,2,3)+1),CELL("address",AC883))</f>
        <v>$AC$883</v>
      </c>
      <c r="M883" s="98" t="str">
        <f ca="1">IF(J882&gt;=7,(MID(L883,1,1)&amp;MID(L883,2,3)+1),CELL("address",AD883))</f>
        <v>$AD$883</v>
      </c>
      <c r="N883" s="98" t="str">
        <f ca="1">IF(J882&gt;=8,(MID(M883,1,1)&amp;MID(M883,2,3)+1),CELL("address",AE883))</f>
        <v>$AE$883</v>
      </c>
      <c r="O883" s="98" t="str">
        <f ca="1">IF(J882&gt;=9,(MID(N883,1,1)&amp;MID(N883,2,3)+1),CELL("address",AF883))</f>
        <v>$AF$883</v>
      </c>
      <c r="P883" s="98" t="str">
        <f ca="1">IF(J882&gt;=10,(MID(O883,1,1)&amp;MID(O883,2,3)+1),CELL("address",AG883))</f>
        <v>$AG$883</v>
      </c>
      <c r="Q883" s="98" t="str">
        <f ca="1">IF(J882&gt;=11,(MID(P883,1,1)&amp;MID(P883,2,3)+1),CELL("address",AH883))</f>
        <v>$AH$883</v>
      </c>
      <c r="R883" s="98" t="str">
        <f ca="1">IF(J882&gt;=12,(MID(Q883,1,1)&amp;MID(Q883,2,3)+1),CELL("address",AI883))</f>
        <v>$AI$883</v>
      </c>
    </row>
    <row r="884" spans="1:8" ht="15" customHeight="1">
      <c r="A884" s="260"/>
      <c r="B884" s="260"/>
      <c r="C884" s="261"/>
      <c r="D884" s="81" t="s">
        <v>60</v>
      </c>
      <c r="E884" s="69">
        <v>0.559</v>
      </c>
      <c r="G884" s="92" t="str">
        <f>CONCATENATE(D884," - ",E884,", ")</f>
        <v>Transformer body scrap - 0.559, </v>
      </c>
      <c r="H884" s="1"/>
    </row>
    <row r="885" spans="1:8" ht="15" customHeight="1">
      <c r="A885" s="260"/>
      <c r="B885" s="260"/>
      <c r="C885" s="261"/>
      <c r="D885" s="45" t="s">
        <v>567</v>
      </c>
      <c r="E885" s="58">
        <v>0.267</v>
      </c>
      <c r="G885" s="92" t="str">
        <f>CONCATENATE(D885," - ",E885,", ")</f>
        <v>Lamination scrap - 0.267, </v>
      </c>
      <c r="H885" s="1"/>
    </row>
    <row r="886" spans="1:8" ht="15" customHeight="1">
      <c r="A886" s="213"/>
      <c r="B886" s="215"/>
      <c r="C886" s="48"/>
      <c r="D886" s="38"/>
      <c r="E886" s="184"/>
      <c r="G886" s="211"/>
      <c r="H886" s="1"/>
    </row>
    <row r="887" spans="1:8" ht="15" customHeight="1">
      <c r="A887" s="53"/>
      <c r="B887" s="54"/>
      <c r="C887" s="54"/>
      <c r="D887" s="55"/>
      <c r="E887" s="167">
        <f>SUM(E889:E889)</f>
        <v>19</v>
      </c>
      <c r="G887" s="211"/>
      <c r="H887" s="1"/>
    </row>
    <row r="888" spans="1:18" ht="15" customHeight="1">
      <c r="A888" s="260" t="s">
        <v>5</v>
      </c>
      <c r="B888" s="260"/>
      <c r="C888" s="40" t="s">
        <v>17</v>
      </c>
      <c r="D888" s="221" t="s">
        <v>18</v>
      </c>
      <c r="E888" s="39" t="s">
        <v>7</v>
      </c>
      <c r="G888" s="93" t="str">
        <f>CONCATENATE("Misc. Iron Scrap, Lying at ",C889,". Quantity in MT - ")</f>
        <v>Misc. Iron Scrap, Lying at S &amp; T Store Bathinda. Quantity in MT - </v>
      </c>
      <c r="H888" s="268" t="str">
        <f ca="1">CONCATENATE(G888,G889,(INDIRECT(I889)),(INDIRECT(J889)),(INDIRECT(K889)),(INDIRECT(L889)),(INDIRECT(M889)),(INDIRECT(N889)),(INDIRECT(O889)),(INDIRECT(P889)),(INDIRECT(Q889)),(INDIRECT(R889)),".")</f>
        <v>Misc. Iron Scrap, Lying at S &amp; T Store Bathinda. Quantity in MT - MS iron scrap - 19, .</v>
      </c>
      <c r="I888" s="98" t="str">
        <f aca="true" ca="1" t="array" ref="I888">CELL("address",INDEX(G888:G912,MATCH(TRUE,ISBLANK(G888:G912),0)))</f>
        <v>$G$890</v>
      </c>
      <c r="J888" s="98">
        <f aca="true" t="array" ref="J888">MATCH(TRUE,ISBLANK(G888:G912),0)</f>
        <v>3</v>
      </c>
      <c r="K888" s="98">
        <f>J888-3</f>
        <v>0</v>
      </c>
      <c r="L888" s="98"/>
      <c r="M888" s="98"/>
      <c r="N888" s="98"/>
      <c r="O888" s="98"/>
      <c r="P888" s="98"/>
      <c r="Q888" s="98"/>
      <c r="R888" s="98"/>
    </row>
    <row r="889" spans="1:18" ht="15" customHeight="1">
      <c r="A889" s="260" t="s">
        <v>636</v>
      </c>
      <c r="B889" s="260"/>
      <c r="C889" s="221" t="s">
        <v>57</v>
      </c>
      <c r="D889" s="42" t="s">
        <v>29</v>
      </c>
      <c r="E889" s="69">
        <v>19</v>
      </c>
      <c r="G889" s="92" t="str">
        <f>CONCATENATE(D889," - ",E889,", ")</f>
        <v>MS iron scrap - 19, </v>
      </c>
      <c r="H889" s="268"/>
      <c r="I889" s="98" t="str">
        <f ca="1">IF(J888&gt;=3,(MID(I888,2,1)&amp;MID(I888,4,3)-K888),CELL("address",Z889))</f>
        <v>G890</v>
      </c>
      <c r="J889" s="98" t="str">
        <f ca="1">IF(J888&gt;=4,(MID(I889,1,1)&amp;MID(I889,2,3)+1),CELL("address",AA889))</f>
        <v>$AA$889</v>
      </c>
      <c r="K889" s="98" t="str">
        <f ca="1">IF(J888&gt;=5,(MID(J889,1,1)&amp;MID(J889,2,3)+1),CELL("address",AB889))</f>
        <v>$AB$889</v>
      </c>
      <c r="L889" s="98" t="str">
        <f ca="1">IF(J888&gt;=6,(MID(K889,1,1)&amp;MID(K889,2,3)+1),CELL("address",AC889))</f>
        <v>$AC$889</v>
      </c>
      <c r="M889" s="98" t="str">
        <f ca="1">IF(J888&gt;=7,(MID(L889,1,1)&amp;MID(L889,2,3)+1),CELL("address",AD889))</f>
        <v>$AD$889</v>
      </c>
      <c r="N889" s="98" t="str">
        <f ca="1">IF(J888&gt;=8,(MID(M889,1,1)&amp;MID(M889,2,3)+1),CELL("address",AE889))</f>
        <v>$AE$889</v>
      </c>
      <c r="O889" s="98" t="str">
        <f ca="1">IF(J888&gt;=9,(MID(N889,1,1)&amp;MID(N889,2,3)+1),CELL("address",AF889))</f>
        <v>$AF$889</v>
      </c>
      <c r="P889" s="98" t="str">
        <f ca="1">IF(J888&gt;=10,(MID(O889,1,1)&amp;MID(O889,2,3)+1),CELL("address",AG889))</f>
        <v>$AG$889</v>
      </c>
      <c r="Q889" s="98" t="str">
        <f ca="1">IF(J888&gt;=11,(MID(P889,1,1)&amp;MID(P889,2,3)+1),CELL("address",AH889))</f>
        <v>$AH$889</v>
      </c>
      <c r="R889" s="98" t="str">
        <f ca="1">IF(J888&gt;=12,(MID(Q889,1,1)&amp;MID(Q889,2,3)+1),CELL("address",AI889))</f>
        <v>$AI$889</v>
      </c>
    </row>
    <row r="890" spans="1:18" ht="15" customHeight="1">
      <c r="A890" s="39"/>
      <c r="B890" s="41"/>
      <c r="C890" s="48"/>
      <c r="D890" s="41"/>
      <c r="E890" s="58"/>
      <c r="G890" s="211"/>
      <c r="H890" s="253"/>
      <c r="I890" s="98"/>
      <c r="J890" s="98"/>
      <c r="K890" s="98"/>
      <c r="L890" s="98"/>
      <c r="M890" s="98"/>
      <c r="N890" s="98"/>
      <c r="O890" s="98"/>
      <c r="P890" s="98"/>
      <c r="Q890" s="98"/>
      <c r="R890" s="98"/>
    </row>
    <row r="891" spans="1:18" ht="15" customHeight="1">
      <c r="A891" s="53"/>
      <c r="B891" s="54"/>
      <c r="C891" s="54"/>
      <c r="D891" s="55"/>
      <c r="E891" s="167">
        <f>SUM(E893:E894)</f>
        <v>105</v>
      </c>
      <c r="G891" s="211"/>
      <c r="H891" s="253"/>
      <c r="I891" s="98"/>
      <c r="J891" s="98"/>
      <c r="K891" s="98"/>
      <c r="L891" s="98"/>
      <c r="M891" s="98"/>
      <c r="N891" s="98"/>
      <c r="O891" s="98"/>
      <c r="P891" s="98"/>
      <c r="Q891" s="98"/>
      <c r="R891" s="98"/>
    </row>
    <row r="892" spans="1:18" ht="15" customHeight="1">
      <c r="A892" s="260" t="s">
        <v>5</v>
      </c>
      <c r="B892" s="260"/>
      <c r="C892" s="40" t="s">
        <v>17</v>
      </c>
      <c r="D892" s="238" t="s">
        <v>18</v>
      </c>
      <c r="E892" s="39" t="s">
        <v>69</v>
      </c>
      <c r="G892" s="93" t="str">
        <f>CONCATENATE("U/S Typewriters and U/S Ceiling Fans, Lying at ",C893,". Quantity in No - ")</f>
        <v>U/S Typewriters and U/S Ceiling Fans, Lying at CS Patiala. Quantity in No - </v>
      </c>
      <c r="H892" s="268" t="str">
        <f ca="1">CONCATENATE(G892,G893,(INDIRECT(I893)),(INDIRECT(J893)),(INDIRECT(K893)),(INDIRECT(L893)),(INDIRECT(M893)),(INDIRECT(N893)),(INDIRECT(O893)),(INDIRECT(P893)),(INDIRECT(Q893)),(INDIRECT(R893)),".")</f>
        <v>U/S Typewriters and U/S Ceiling Fans, Lying at CS Patiala. Quantity in No - U/S Typewriters - 64, U/S Ceiling Fans - 41, .</v>
      </c>
      <c r="I892" s="98" t="str">
        <f aca="true" ca="1" t="array" ref="I892">CELL("address",INDEX(G892:G916,MATCH(TRUE,ISBLANK(G892:G916),0)))</f>
        <v>$G$895</v>
      </c>
      <c r="J892" s="98">
        <f aca="true" t="array" ref="J892">MATCH(TRUE,ISBLANK(G892:G916),0)</f>
        <v>4</v>
      </c>
      <c r="K892" s="98">
        <f>J892-3</f>
        <v>1</v>
      </c>
      <c r="L892" s="98"/>
      <c r="M892" s="98"/>
      <c r="N892" s="98"/>
      <c r="O892" s="98"/>
      <c r="P892" s="98"/>
      <c r="Q892" s="98"/>
      <c r="R892" s="98"/>
    </row>
    <row r="893" spans="1:18" ht="15" customHeight="1">
      <c r="A893" s="260" t="s">
        <v>697</v>
      </c>
      <c r="B893" s="260"/>
      <c r="C893" s="261" t="s">
        <v>52</v>
      </c>
      <c r="D893" s="40" t="s">
        <v>695</v>
      </c>
      <c r="E893" s="58">
        <v>64</v>
      </c>
      <c r="G893" s="92" t="str">
        <f>CONCATENATE(D893," - ",E893,", ")</f>
        <v>U/S Typewriters - 64, </v>
      </c>
      <c r="H893" s="268"/>
      <c r="I893" s="98" t="str">
        <f ca="1">IF(J892&gt;=3,(MID(I892,2,1)&amp;MID(I892,4,3)-K892),CELL("address",Z893))</f>
        <v>G894</v>
      </c>
      <c r="J893" s="98" t="str">
        <f ca="1">IF(J892&gt;=4,(MID(I893,1,1)&amp;MID(I893,2,3)+1),CELL("address",AA893))</f>
        <v>G895</v>
      </c>
      <c r="K893" s="98" t="str">
        <f ca="1">IF(J892&gt;=5,(MID(J893,1,1)&amp;MID(J893,2,3)+1),CELL("address",AB893))</f>
        <v>$AB$893</v>
      </c>
      <c r="L893" s="98" t="str">
        <f ca="1">IF(J892&gt;=6,(MID(K893,1,1)&amp;MID(K893,2,3)+1),CELL("address",AC893))</f>
        <v>$AC$893</v>
      </c>
      <c r="M893" s="98" t="str">
        <f ca="1">IF(J892&gt;=7,(MID(L893,1,1)&amp;MID(L893,2,3)+1),CELL("address",AD893))</f>
        <v>$AD$893</v>
      </c>
      <c r="N893" s="98" t="str">
        <f ca="1">IF(J892&gt;=8,(MID(M893,1,1)&amp;MID(M893,2,3)+1),CELL("address",AE893))</f>
        <v>$AE$893</v>
      </c>
      <c r="O893" s="98" t="str">
        <f ca="1">IF(J892&gt;=9,(MID(N893,1,1)&amp;MID(N893,2,3)+1),CELL("address",AF893))</f>
        <v>$AF$893</v>
      </c>
      <c r="P893" s="98" t="str">
        <f ca="1">IF(J892&gt;=10,(MID(O893,1,1)&amp;MID(O893,2,3)+1),CELL("address",AG893))</f>
        <v>$AG$893</v>
      </c>
      <c r="Q893" s="98" t="str">
        <f ca="1">IF(J892&gt;=11,(MID(P893,1,1)&amp;MID(P893,2,3)+1),CELL("address",AH893))</f>
        <v>$AH$893</v>
      </c>
      <c r="R893" s="98" t="str">
        <f ca="1">IF(J892&gt;=12,(MID(Q893,1,1)&amp;MID(Q893,2,3)+1),CELL("address",AI893))</f>
        <v>$AI$893</v>
      </c>
    </row>
    <row r="894" spans="1:18" ht="15" customHeight="1">
      <c r="A894" s="260"/>
      <c r="B894" s="260"/>
      <c r="C894" s="261"/>
      <c r="D894" s="229" t="s">
        <v>703</v>
      </c>
      <c r="E894" s="184">
        <v>41</v>
      </c>
      <c r="G894" s="92" t="str">
        <f>CONCATENATE(D894," - ",E894,", ")</f>
        <v>U/S Ceiling Fans - 41, </v>
      </c>
      <c r="H894" s="253"/>
      <c r="I894" s="98"/>
      <c r="J894" s="98"/>
      <c r="K894" s="98"/>
      <c r="L894" s="98"/>
      <c r="M894" s="98"/>
      <c r="N894" s="98"/>
      <c r="O894" s="98"/>
      <c r="P894" s="98"/>
      <c r="Q894" s="98"/>
      <c r="R894" s="98"/>
    </row>
    <row r="895" spans="1:8" ht="15" customHeight="1">
      <c r="A895" s="39"/>
      <c r="B895" s="41"/>
      <c r="C895" s="48"/>
      <c r="D895" s="38"/>
      <c r="E895" s="184"/>
      <c r="H895" s="1"/>
    </row>
    <row r="896" spans="1:8" ht="15" customHeight="1">
      <c r="A896" s="319" t="s">
        <v>287</v>
      </c>
      <c r="B896" s="320"/>
      <c r="C896" s="320"/>
      <c r="D896" s="320"/>
      <c r="E896" s="320"/>
      <c r="H896" s="1"/>
    </row>
    <row r="897" spans="1:8" ht="15" customHeight="1">
      <c r="A897" s="272" t="s">
        <v>5</v>
      </c>
      <c r="B897" s="273"/>
      <c r="C897" s="272" t="s">
        <v>6</v>
      </c>
      <c r="D897" s="273"/>
      <c r="E897" s="222" t="s">
        <v>7</v>
      </c>
      <c r="H897" s="93"/>
    </row>
    <row r="898" spans="1:8" ht="15" customHeight="1">
      <c r="A898" s="260" t="s">
        <v>124</v>
      </c>
      <c r="B898" s="260"/>
      <c r="C898" s="282" t="s">
        <v>112</v>
      </c>
      <c r="D898" s="282"/>
      <c r="E898" s="197">
        <v>1.293</v>
      </c>
      <c r="H898" s="93" t="str">
        <f aca="true" t="shared" si="5" ref="H898:H911">CONCATENATE("Wooden scrap (without iron parts), Lying at ",C898,". Quantity in MT - ",E898,)</f>
        <v>Wooden scrap (without iron parts), Lying at OL Fazilka. Quantity in MT - 1.293</v>
      </c>
    </row>
    <row r="899" spans="1:8" ht="15" customHeight="1">
      <c r="A899" s="260" t="s">
        <v>127</v>
      </c>
      <c r="B899" s="260"/>
      <c r="C899" s="260" t="s">
        <v>95</v>
      </c>
      <c r="D899" s="260"/>
      <c r="E899" s="197">
        <v>0.421</v>
      </c>
      <c r="H899" s="93" t="str">
        <f t="shared" si="5"/>
        <v>Wooden scrap (without iron parts), Lying at CS Malout. Quantity in MT - 0.421</v>
      </c>
    </row>
    <row r="900" spans="1:8" ht="15" customHeight="1">
      <c r="A900" s="260" t="s">
        <v>128</v>
      </c>
      <c r="B900" s="260"/>
      <c r="C900" s="282" t="s">
        <v>102</v>
      </c>
      <c r="D900" s="282"/>
      <c r="E900" s="69">
        <v>0.597</v>
      </c>
      <c r="H900" s="93" t="str">
        <f t="shared" si="5"/>
        <v>Wooden scrap (without iron parts), Lying at OL Patran. Quantity in MT - 0.597</v>
      </c>
    </row>
    <row r="901" spans="1:8" ht="15" customHeight="1">
      <c r="A901" s="260" t="s">
        <v>129</v>
      </c>
      <c r="B901" s="260"/>
      <c r="C901" s="260" t="s">
        <v>43</v>
      </c>
      <c r="D901" s="260"/>
      <c r="E901" s="69">
        <v>4.968</v>
      </c>
      <c r="H901" s="93" t="str">
        <f t="shared" si="5"/>
        <v>Wooden scrap (without iron parts), Lying at CS Kotkapura. Quantity in MT - 4.968</v>
      </c>
    </row>
    <row r="902" spans="1:8" ht="15" customHeight="1">
      <c r="A902" s="260" t="s">
        <v>130</v>
      </c>
      <c r="B902" s="260"/>
      <c r="C902" s="260" t="s">
        <v>79</v>
      </c>
      <c r="D902" s="260"/>
      <c r="E902" s="69">
        <v>1.796</v>
      </c>
      <c r="H902" s="93" t="str">
        <f t="shared" si="5"/>
        <v>Wooden scrap (without iron parts), Lying at CS Sangrur. Quantity in MT - 1.796</v>
      </c>
    </row>
    <row r="903" spans="1:8" ht="15" customHeight="1">
      <c r="A903" s="260" t="s">
        <v>131</v>
      </c>
      <c r="B903" s="260"/>
      <c r="C903" s="282" t="s">
        <v>126</v>
      </c>
      <c r="D903" s="282"/>
      <c r="E903" s="69">
        <v>1.275</v>
      </c>
      <c r="H903" s="93" t="str">
        <f t="shared" si="5"/>
        <v>Wooden scrap (without iron parts), Lying at OL Malerkotla. Quantity in MT - 1.275</v>
      </c>
    </row>
    <row r="904" spans="1:8" ht="15" customHeight="1">
      <c r="A904" s="260" t="s">
        <v>137</v>
      </c>
      <c r="B904" s="260"/>
      <c r="C904" s="282" t="s">
        <v>100</v>
      </c>
      <c r="D904" s="282"/>
      <c r="E904" s="69">
        <v>0.338</v>
      </c>
      <c r="H904" s="93" t="str">
        <f t="shared" si="5"/>
        <v>Wooden scrap (without iron parts), Lying at OL Bhagta Bhai Ka. Quantity in MT - 0.338</v>
      </c>
    </row>
    <row r="905" spans="1:8" ht="15" customHeight="1">
      <c r="A905" s="260" t="s">
        <v>138</v>
      </c>
      <c r="B905" s="260"/>
      <c r="C905" s="282" t="s">
        <v>59</v>
      </c>
      <c r="D905" s="282"/>
      <c r="E905" s="69">
        <v>0.4</v>
      </c>
      <c r="H905" s="93" t="str">
        <f t="shared" si="5"/>
        <v>Wooden scrap (without iron parts), Lying at OL Mansa. Quantity in MT - 0.4</v>
      </c>
    </row>
    <row r="906" spans="1:8" ht="15" customHeight="1">
      <c r="A906" s="260" t="s">
        <v>139</v>
      </c>
      <c r="B906" s="260"/>
      <c r="C906" s="260" t="s">
        <v>99</v>
      </c>
      <c r="D906" s="260"/>
      <c r="E906" s="69">
        <v>4.39</v>
      </c>
      <c r="H906" s="93" t="str">
        <f t="shared" si="5"/>
        <v>Wooden scrap (without iron parts), Lying at CS Ferozepur. Quantity in MT - 4.39</v>
      </c>
    </row>
    <row r="907" spans="1:8" ht="15" customHeight="1">
      <c r="A907" s="260" t="s">
        <v>140</v>
      </c>
      <c r="B907" s="260"/>
      <c r="C907" s="282" t="s">
        <v>269</v>
      </c>
      <c r="D907" s="336"/>
      <c r="E907" s="69">
        <v>0.376</v>
      </c>
      <c r="H907" s="93" t="str">
        <f t="shared" si="5"/>
        <v>Wooden scrap (without iron parts), Lying at OL Moga. Quantity in MT - 0.376</v>
      </c>
    </row>
    <row r="908" spans="1:8" ht="15" customHeight="1">
      <c r="A908" s="260" t="s">
        <v>144</v>
      </c>
      <c r="B908" s="260"/>
      <c r="C908" s="329" t="s">
        <v>459</v>
      </c>
      <c r="D908" s="329"/>
      <c r="E908" s="69">
        <v>0.5</v>
      </c>
      <c r="H908" s="93" t="str">
        <f t="shared" si="5"/>
        <v>Wooden scrap (without iron parts), Lying at OL Shri Mukatsar Sahib. Quantity in MT - 0.5</v>
      </c>
    </row>
    <row r="909" spans="1:8" ht="15" customHeight="1">
      <c r="A909" s="260" t="s">
        <v>458</v>
      </c>
      <c r="B909" s="260"/>
      <c r="C909" s="282" t="s">
        <v>190</v>
      </c>
      <c r="D909" s="282"/>
      <c r="E909" s="46">
        <v>0.625</v>
      </c>
      <c r="H909" s="93" t="str">
        <f t="shared" si="5"/>
        <v>Wooden scrap (without iron parts), Lying at OL Barnala. Quantity in MT - 0.625</v>
      </c>
    </row>
    <row r="910" spans="1:8" ht="15" customHeight="1">
      <c r="A910" s="260" t="s">
        <v>483</v>
      </c>
      <c r="B910" s="260"/>
      <c r="C910" s="329" t="s">
        <v>63</v>
      </c>
      <c r="D910" s="329"/>
      <c r="E910" s="46">
        <v>0.199</v>
      </c>
      <c r="H910" s="93" t="str">
        <f t="shared" si="5"/>
        <v>Wooden scrap (without iron parts), Lying at CS Bathinda. Quantity in MT - 0.199</v>
      </c>
    </row>
    <row r="911" spans="1:8" ht="15" customHeight="1" thickBot="1">
      <c r="A911" s="260" t="s">
        <v>529</v>
      </c>
      <c r="B911" s="260"/>
      <c r="C911" s="282" t="s">
        <v>569</v>
      </c>
      <c r="D911" s="282"/>
      <c r="E911" s="46">
        <v>1.305</v>
      </c>
      <c r="H911" s="93" t="str">
        <f t="shared" si="5"/>
        <v>Wooden scrap (without iron parts), Lying at OLNabha. Quantity in MT - 1.305</v>
      </c>
    </row>
    <row r="912" spans="1:8" ht="15" customHeight="1" thickBot="1">
      <c r="A912" s="334" t="s">
        <v>14</v>
      </c>
      <c r="B912" s="335"/>
      <c r="C912" s="230"/>
      <c r="D912" s="230"/>
      <c r="E912" s="168">
        <f>SUM(E898:E911)</f>
        <v>18.483</v>
      </c>
      <c r="H912" s="1"/>
    </row>
    <row r="913" spans="1:8" ht="15" customHeight="1">
      <c r="A913" s="19"/>
      <c r="B913" s="19"/>
      <c r="C913" s="15"/>
      <c r="D913" s="15"/>
      <c r="E913" s="169"/>
      <c r="H913" s="1"/>
    </row>
    <row r="914" spans="1:8" ht="15" customHeight="1">
      <c r="A914" s="288" t="s">
        <v>11</v>
      </c>
      <c r="B914" s="289"/>
      <c r="C914" s="289"/>
      <c r="D914" s="289"/>
      <c r="E914" s="289"/>
      <c r="H914" s="1"/>
    </row>
    <row r="915" spans="1:8" ht="15" customHeight="1">
      <c r="A915" s="16"/>
      <c r="B915" s="17"/>
      <c r="C915" s="17"/>
      <c r="D915" s="17"/>
      <c r="E915" s="17"/>
      <c r="H915" s="1"/>
    </row>
    <row r="916" spans="1:8" ht="15" customHeight="1">
      <c r="A916" s="323" t="s">
        <v>8</v>
      </c>
      <c r="B916" s="324"/>
      <c r="C916" s="324"/>
      <c r="D916" s="324"/>
      <c r="E916" s="324"/>
      <c r="H916" s="1"/>
    </row>
    <row r="917" spans="1:8" ht="15" customHeight="1">
      <c r="A917" s="40" t="s">
        <v>5</v>
      </c>
      <c r="B917" s="261" t="s">
        <v>17</v>
      </c>
      <c r="C917" s="261"/>
      <c r="D917" s="221" t="s">
        <v>18</v>
      </c>
      <c r="E917" s="39" t="s">
        <v>76</v>
      </c>
      <c r="H917" s="1"/>
    </row>
    <row r="918" spans="1:8" ht="15" customHeight="1">
      <c r="A918" s="40" t="s">
        <v>78</v>
      </c>
      <c r="B918" s="316" t="s">
        <v>108</v>
      </c>
      <c r="C918" s="316"/>
      <c r="D918" s="40" t="s">
        <v>77</v>
      </c>
      <c r="E918" s="165">
        <v>37</v>
      </c>
      <c r="H918" s="93" t="str">
        <f>CONCATENATE("CT/PT Units, Lying at ",B918,". Quantity in No - ",E918,)</f>
        <v>CT/PT Units, Lying at Central Store Kotkapura. Quantity in No - 37</v>
      </c>
    </row>
    <row r="919" spans="1:8" ht="15" customHeight="1">
      <c r="A919" s="39"/>
      <c r="B919" s="78"/>
      <c r="C919" s="78"/>
      <c r="D919" s="41"/>
      <c r="E919" s="166"/>
      <c r="H919" s="93"/>
    </row>
    <row r="920" spans="1:8" ht="15" customHeight="1">
      <c r="A920" s="40" t="s">
        <v>5</v>
      </c>
      <c r="B920" s="261" t="s">
        <v>17</v>
      </c>
      <c r="C920" s="261"/>
      <c r="D920" s="221" t="s">
        <v>18</v>
      </c>
      <c r="E920" s="39" t="s">
        <v>76</v>
      </c>
      <c r="H920" s="1"/>
    </row>
    <row r="921" spans="1:8" ht="15" customHeight="1">
      <c r="A921" s="40" t="s">
        <v>121</v>
      </c>
      <c r="B921" s="316" t="s">
        <v>159</v>
      </c>
      <c r="C921" s="316"/>
      <c r="D921" s="40" t="s">
        <v>77</v>
      </c>
      <c r="E921" s="165">
        <v>33</v>
      </c>
      <c r="H921" s="93" t="str">
        <f>CONCATENATE("CT/PT Units, Lying at ",B921,". Quantity in No - ",E921,)</f>
        <v>CT/PT Units, Lying at Central Store Patiala. Quantity in No - 33</v>
      </c>
    </row>
    <row r="922" spans="1:8" ht="15" customHeight="1">
      <c r="A922" s="39"/>
      <c r="B922" s="84"/>
      <c r="C922" s="84"/>
      <c r="D922" s="41"/>
      <c r="E922" s="166"/>
      <c r="H922" s="1"/>
    </row>
    <row r="923" spans="1:8" ht="15" customHeight="1">
      <c r="A923" s="40" t="s">
        <v>5</v>
      </c>
      <c r="B923" s="261" t="s">
        <v>17</v>
      </c>
      <c r="C923" s="261"/>
      <c r="D923" s="221" t="s">
        <v>18</v>
      </c>
      <c r="E923" s="39" t="s">
        <v>76</v>
      </c>
      <c r="H923" s="1"/>
    </row>
    <row r="924" spans="1:8" ht="15" customHeight="1">
      <c r="A924" s="40" t="s">
        <v>197</v>
      </c>
      <c r="B924" s="316" t="s">
        <v>185</v>
      </c>
      <c r="C924" s="316"/>
      <c r="D924" s="40" t="s">
        <v>77</v>
      </c>
      <c r="E924" s="165">
        <v>56</v>
      </c>
      <c r="H924" s="93" t="str">
        <f>CONCATENATE("CT/PT Units, Lying at ",B924,". Quantity in No - ",E924,)</f>
        <v>CT/PT Units, Lying at Outlet store Ropar. Quantity in No - 56</v>
      </c>
    </row>
    <row r="925" spans="1:8" ht="15" customHeight="1">
      <c r="A925" s="39"/>
      <c r="B925" s="84"/>
      <c r="C925" s="84"/>
      <c r="D925" s="233"/>
      <c r="E925" s="170"/>
      <c r="H925" s="1"/>
    </row>
    <row r="926" spans="1:8" ht="15" customHeight="1">
      <c r="A926" s="40" t="s">
        <v>5</v>
      </c>
      <c r="B926" s="261" t="s">
        <v>17</v>
      </c>
      <c r="C926" s="261"/>
      <c r="D926" s="221" t="s">
        <v>18</v>
      </c>
      <c r="E926" s="39" t="s">
        <v>76</v>
      </c>
      <c r="H926" s="1"/>
    </row>
    <row r="927" spans="1:8" ht="15" customHeight="1">
      <c r="A927" s="40" t="s">
        <v>206</v>
      </c>
      <c r="B927" s="316" t="s">
        <v>209</v>
      </c>
      <c r="C927" s="316"/>
      <c r="D927" s="40" t="s">
        <v>77</v>
      </c>
      <c r="E927" s="165">
        <v>42</v>
      </c>
      <c r="H927" s="93" t="str">
        <f>CONCATENATE("CT/PT Units, Lying at ",B927,". Quantity in No - ",E927,)</f>
        <v>CT/PT Units, Lying at Central Store Sangrur. Quantity in No - 42</v>
      </c>
    </row>
    <row r="928" spans="1:8" ht="15" customHeight="1">
      <c r="A928" s="39"/>
      <c r="B928" s="84"/>
      <c r="C928" s="84"/>
      <c r="D928" s="41"/>
      <c r="E928" s="166"/>
      <c r="H928" s="1"/>
    </row>
    <row r="929" spans="1:8" ht="15" customHeight="1">
      <c r="A929" s="40" t="s">
        <v>5</v>
      </c>
      <c r="B929" s="261" t="s">
        <v>17</v>
      </c>
      <c r="C929" s="261"/>
      <c r="D929" s="221" t="s">
        <v>18</v>
      </c>
      <c r="E929" s="39" t="s">
        <v>76</v>
      </c>
      <c r="H929" s="1"/>
    </row>
    <row r="930" spans="1:8" ht="15" customHeight="1">
      <c r="A930" s="40" t="s">
        <v>278</v>
      </c>
      <c r="B930" s="316" t="s">
        <v>292</v>
      </c>
      <c r="C930" s="316"/>
      <c r="D930" s="40" t="s">
        <v>77</v>
      </c>
      <c r="E930" s="165">
        <v>41</v>
      </c>
      <c r="H930" s="93" t="str">
        <f>CONCATENATE("CT/PT Units, Lying at ",B930,". Quantity in No - ",E930,)</f>
        <v>CT/PT Units, Lying at Central Store Bathinda. Quantity in No - 41</v>
      </c>
    </row>
    <row r="931" spans="1:8" ht="15" customHeight="1">
      <c r="A931" s="39"/>
      <c r="B931" s="84"/>
      <c r="C931" s="84"/>
      <c r="D931" s="41"/>
      <c r="E931" s="166"/>
      <c r="H931" s="1"/>
    </row>
    <row r="932" spans="1:8" ht="15" customHeight="1">
      <c r="A932" s="40" t="s">
        <v>5</v>
      </c>
      <c r="B932" s="261" t="s">
        <v>17</v>
      </c>
      <c r="C932" s="261"/>
      <c r="D932" s="221" t="s">
        <v>18</v>
      </c>
      <c r="E932" s="39" t="s">
        <v>76</v>
      </c>
      <c r="H932" s="1"/>
    </row>
    <row r="933" spans="1:8" ht="15" customHeight="1">
      <c r="A933" s="40" t="s">
        <v>293</v>
      </c>
      <c r="B933" s="316" t="s">
        <v>108</v>
      </c>
      <c r="C933" s="316"/>
      <c r="D933" s="40" t="s">
        <v>279</v>
      </c>
      <c r="E933" s="165">
        <v>168</v>
      </c>
      <c r="H933" s="93" t="str">
        <f>CONCATENATE("Empty steel drums (cap 209 ltrs), Lying at ",B933,". Quantity in No - ",E933,)</f>
        <v>Empty steel drums (cap 209 ltrs), Lying at Central Store Kotkapura. Quantity in No - 168</v>
      </c>
    </row>
    <row r="934" spans="1:8" ht="15" customHeight="1">
      <c r="A934" s="39"/>
      <c r="B934" s="84"/>
      <c r="C934" s="84"/>
      <c r="D934" s="41"/>
      <c r="E934" s="166"/>
      <c r="H934" s="1"/>
    </row>
    <row r="935" spans="1:8" ht="15" customHeight="1">
      <c r="A935" s="40" t="s">
        <v>5</v>
      </c>
      <c r="B935" s="261" t="s">
        <v>17</v>
      </c>
      <c r="C935" s="261"/>
      <c r="D935" s="221" t="s">
        <v>18</v>
      </c>
      <c r="E935" s="39" t="s">
        <v>76</v>
      </c>
      <c r="H935" s="1"/>
    </row>
    <row r="936" spans="1:8" ht="15" customHeight="1">
      <c r="A936" s="40" t="s">
        <v>324</v>
      </c>
      <c r="B936" s="316" t="s">
        <v>323</v>
      </c>
      <c r="C936" s="316"/>
      <c r="D936" s="40" t="s">
        <v>279</v>
      </c>
      <c r="E936" s="165">
        <v>53</v>
      </c>
      <c r="H936" s="93" t="str">
        <f>CONCATENATE("Empty steel drums (cap 209 ltrs), Lying at ",B936,". Quantity in No - ",E936,)</f>
        <v>Empty steel drums (cap 209 ltrs), Lying at Central Store Malout. Quantity in No - 53</v>
      </c>
    </row>
    <row r="937" spans="1:8" ht="15" customHeight="1">
      <c r="A937" s="39"/>
      <c r="B937" s="84"/>
      <c r="C937" s="84"/>
      <c r="D937" s="233"/>
      <c r="E937" s="170"/>
      <c r="H937" s="1"/>
    </row>
    <row r="938" spans="1:8" ht="15" customHeight="1">
      <c r="A938" s="40" t="s">
        <v>5</v>
      </c>
      <c r="B938" s="261" t="s">
        <v>17</v>
      </c>
      <c r="C938" s="261"/>
      <c r="D938" s="221" t="s">
        <v>18</v>
      </c>
      <c r="E938" s="39" t="s">
        <v>76</v>
      </c>
      <c r="H938" s="1"/>
    </row>
    <row r="939" spans="1:8" ht="15" customHeight="1">
      <c r="A939" s="40" t="s">
        <v>334</v>
      </c>
      <c r="B939" s="316" t="s">
        <v>185</v>
      </c>
      <c r="C939" s="316"/>
      <c r="D939" s="40" t="s">
        <v>279</v>
      </c>
      <c r="E939" s="165">
        <v>13</v>
      </c>
      <c r="H939" s="93" t="str">
        <f>CONCATENATE("Empty steel drums (cap 209 ltrs), Lying at ",B939,". Quantity in No - ",E939,)</f>
        <v>Empty steel drums (cap 209 ltrs), Lying at Outlet store Ropar. Quantity in No - 13</v>
      </c>
    </row>
    <row r="940" spans="1:8" ht="12.75" customHeight="1">
      <c r="A940" s="39"/>
      <c r="B940" s="84"/>
      <c r="C940" s="84"/>
      <c r="D940" s="233"/>
      <c r="E940" s="170"/>
      <c r="F940" s="94"/>
      <c r="G940" s="94"/>
      <c r="H940" s="95"/>
    </row>
    <row r="941" spans="1:8" ht="12.75" customHeight="1">
      <c r="A941" s="327" t="s">
        <v>16</v>
      </c>
      <c r="B941" s="328"/>
      <c r="C941" s="328"/>
      <c r="D941" s="328"/>
      <c r="E941" s="328"/>
      <c r="H941" s="1"/>
    </row>
    <row r="942" spans="1:8" ht="12.75" customHeight="1">
      <c r="A942" s="20"/>
      <c r="B942" s="21"/>
      <c r="C942" s="21"/>
      <c r="D942" s="21"/>
      <c r="E942" s="21"/>
      <c r="H942" s="1"/>
    </row>
    <row r="943" spans="1:8" ht="25.5" customHeight="1">
      <c r="A943" s="317" t="s">
        <v>15</v>
      </c>
      <c r="B943" s="318"/>
      <c r="C943" s="318"/>
      <c r="D943" s="318"/>
      <c r="E943" s="318"/>
      <c r="H943" s="1"/>
    </row>
    <row r="944" spans="1:8" ht="15" customHeight="1">
      <c r="A944" s="227"/>
      <c r="B944" s="228"/>
      <c r="C944" s="228"/>
      <c r="D944" s="228"/>
      <c r="E944" s="228"/>
      <c r="H944" s="1"/>
    </row>
    <row r="945" spans="1:8" ht="15" customHeight="1">
      <c r="A945" s="325" t="s">
        <v>49</v>
      </c>
      <c r="B945" s="326"/>
      <c r="C945" s="326"/>
      <c r="D945" s="326"/>
      <c r="E945" s="326"/>
      <c r="H945" s="1"/>
    </row>
    <row r="946" spans="1:8" ht="24" customHeight="1">
      <c r="A946" s="14" t="s">
        <v>5</v>
      </c>
      <c r="B946" s="14" t="s">
        <v>1</v>
      </c>
      <c r="C946" s="14" t="s">
        <v>2</v>
      </c>
      <c r="D946" s="14" t="s">
        <v>3</v>
      </c>
      <c r="E946" s="171" t="s">
        <v>4</v>
      </c>
      <c r="H946" s="1"/>
    </row>
    <row r="947" spans="1:8" ht="24.75" customHeight="1">
      <c r="A947" s="11" t="s">
        <v>109</v>
      </c>
      <c r="B947" s="11" t="s">
        <v>88</v>
      </c>
      <c r="C947" s="11" t="s">
        <v>105</v>
      </c>
      <c r="D947" s="11" t="s">
        <v>89</v>
      </c>
      <c r="E947" s="24" t="s">
        <v>254</v>
      </c>
      <c r="H947" s="101" t="str">
        <f>CONCATENATE("Condemned/obsolete Vehicles  (Without RC )--- ",B947," ",C947," ",E947," ",)</f>
        <v>Condemned/obsolete Vehicles  (Without RC )--- PB-11 AH-0925 HONDA CIVIC CAR (PETROL) 2008 …. CE/ TA &amp; I PSPCL PATIALA 96461-19587 </v>
      </c>
    </row>
    <row r="948" spans="1:8" ht="24.75" customHeight="1">
      <c r="A948" s="11" t="s">
        <v>151</v>
      </c>
      <c r="B948" s="23" t="s">
        <v>148</v>
      </c>
      <c r="C948" s="23" t="s">
        <v>149</v>
      </c>
      <c r="D948" s="23" t="s">
        <v>150</v>
      </c>
      <c r="E948" s="87" t="s">
        <v>255</v>
      </c>
      <c r="H948" s="101" t="str">
        <f>CONCATENATE("Condemned/obsolete Vehicles  (Without RC )--- ",B948," ",C948," ",E948," ",)</f>
        <v>Condemned/obsolete Vehicles  (Without RC )--- PB-05 F-9520 MINI TRUCK EICHER DIESEL (1999) ….. DS S/D MAMDOT PSPCL FEROZEPUR MOB 9646114589 </v>
      </c>
    </row>
    <row r="949" spans="1:8" ht="24.75" customHeight="1">
      <c r="A949" s="11" t="s">
        <v>154</v>
      </c>
      <c r="B949" s="23" t="s">
        <v>155</v>
      </c>
      <c r="C949" s="23" t="s">
        <v>156</v>
      </c>
      <c r="D949" s="23" t="s">
        <v>157</v>
      </c>
      <c r="E949" s="87" t="s">
        <v>256</v>
      </c>
      <c r="H949" s="101" t="str">
        <f>CONCATENATE("Condemned/obsolete Vehicles  (Without RC )--- ",B949," ",C949," ",E949," ",)</f>
        <v>Condemned/obsolete Vehicles  (Without RC )--- PB-03 N-5547 AMBASSADOR CAR DIESEL (2005) ….. DS DIVISION BADAL 96461-14534 </v>
      </c>
    </row>
    <row r="950" spans="1:15" ht="15" customHeight="1">
      <c r="A950" s="18"/>
      <c r="B950" s="22"/>
      <c r="C950" s="22"/>
      <c r="D950" s="18"/>
      <c r="E950" s="172"/>
      <c r="F950" s="98"/>
      <c r="G950" s="98"/>
      <c r="H950" s="98"/>
      <c r="I950" s="98"/>
      <c r="J950" s="98"/>
      <c r="K950" s="98"/>
      <c r="L950" s="98"/>
      <c r="M950" s="98"/>
      <c r="N950" s="98"/>
      <c r="O950" s="98"/>
    </row>
    <row r="951" spans="1:15" ht="15" customHeight="1">
      <c r="A951" s="321" t="s">
        <v>50</v>
      </c>
      <c r="B951" s="322"/>
      <c r="C951" s="322"/>
      <c r="D951" s="322"/>
      <c r="E951" s="322"/>
      <c r="F951" s="98"/>
      <c r="G951" s="98"/>
      <c r="H951" s="98"/>
      <c r="I951" s="98" t="str">
        <f ca="1">IF(G950&gt;=6,(MID(H951,1,1)&amp;MID(H951,2,4)+1),CELL("address",Z951))</f>
        <v>$Z$951</v>
      </c>
      <c r="J951" s="98" t="str">
        <f ca="1">IF(G950&gt;=7,(MID(I951,1,1)&amp;MID(I951,2,4)+1),CELL("address",AA951))</f>
        <v>$AA$951</v>
      </c>
      <c r="K951" s="98" t="str">
        <f ca="1">IF(G950&gt;=8,(MID(J951,1,1)&amp;MID(J951,2,4)+1),CELL("address",AB951))</f>
        <v>$AB$951</v>
      </c>
      <c r="L951" s="98" t="str">
        <f ca="1">IF(G950&gt;=9,(MID(K951,1,1)&amp;MID(K951,2,4)+1),CELL("address",AC951))</f>
        <v>$AC$951</v>
      </c>
      <c r="M951" s="98" t="str">
        <f ca="1">IF(G950&gt;=10,(MID(L951,1,1)&amp;MID(L951,2,4)+1),CELL("address",AD951))</f>
        <v>$AD$951</v>
      </c>
      <c r="N951" s="98" t="str">
        <f ca="1">IF(G950&gt;=11,(MID(M951,1,1)&amp;MID(M951,2,4)+1),CELL("address",AE951))</f>
        <v>$AE$951</v>
      </c>
      <c r="O951" s="98" t="str">
        <f ca="1">IF(G950&gt;=12,(MID(N951,1,1)&amp;MID(N951,2,4)+1),CELL("address",AF951))</f>
        <v>$AF$951</v>
      </c>
    </row>
    <row r="952" spans="1:8" ht="15" customHeight="1">
      <c r="A952" s="330" t="s">
        <v>106</v>
      </c>
      <c r="B952" s="331"/>
      <c r="C952" s="331"/>
      <c r="D952" s="331"/>
      <c r="E952" s="331"/>
      <c r="H952" s="1"/>
    </row>
    <row r="953" spans="1:8" ht="15" customHeight="1">
      <c r="A953" s="6"/>
      <c r="B953" s="7"/>
      <c r="C953" s="7"/>
      <c r="D953" s="7"/>
      <c r="E953" s="7"/>
      <c r="H953" s="1"/>
    </row>
    <row r="954" spans="1:20" ht="15" customHeight="1">
      <c r="A954" s="327" t="s">
        <v>25</v>
      </c>
      <c r="B954" s="328"/>
      <c r="C954" s="328"/>
      <c r="D954" s="328"/>
      <c r="E954" s="328"/>
      <c r="H954" s="1"/>
      <c r="Q954" s="267"/>
      <c r="R954" s="267"/>
      <c r="S954" s="267"/>
      <c r="T954" s="267"/>
    </row>
    <row r="955" spans="1:8" ht="15" customHeight="1">
      <c r="A955" s="61"/>
      <c r="B955" s="61"/>
      <c r="C955" s="62"/>
      <c r="D955" s="62"/>
      <c r="E955" s="63">
        <f>SUM(E957:E960)</f>
        <v>4.129</v>
      </c>
      <c r="H955" s="1"/>
    </row>
    <row r="956" spans="1:18" ht="17.25" customHeight="1">
      <c r="A956" s="262" t="s">
        <v>5</v>
      </c>
      <c r="B956" s="263"/>
      <c r="C956" s="64" t="s">
        <v>17</v>
      </c>
      <c r="D956" s="65" t="s">
        <v>18</v>
      </c>
      <c r="E956" s="68" t="s">
        <v>7</v>
      </c>
      <c r="G956" s="174" t="str">
        <f>CONCATENATE("Misc. Healthy parts/ Non Ferrous  Scrap, Lying at ",C957,". Quantity in MT - ")</f>
        <v>Misc. Healthy parts/ Non Ferrous  Scrap, Lying at TRY Bathinda. Quantity in MT - </v>
      </c>
      <c r="H956" s="268" t="str">
        <f ca="1">CONCATENATE(G956,G957,(INDIRECT(I957)),(INDIRECT(J957)),(INDIRECT(K957)),(INDIRECT(L957)),(INDIRECT(M957)),(INDIRECT(N957)),(INDIRECT(O957)),(INDIRECT(P957)),(INDIRECT(Q957)),(INDIRECT(R957)),".")</f>
        <v>Misc. Healthy parts/ Non Ferrous  Scrap, Lying at TRY Bathinda. Quantity in MT - Brass scrap - 2.683, Misc. Aluminium scrap - 0.893, Burnt Cu scrap - 0.203, Nuts &amp; Bolts scrap - 0.35, .</v>
      </c>
      <c r="I956" s="98" t="str">
        <f aca="true" ca="1" t="array" ref="I956">CELL("address",INDEX(G956:G978,MATCH(TRUE,ISBLANK(G956:G978),0)))</f>
        <v>$G$961</v>
      </c>
      <c r="J956" s="98">
        <f aca="true" t="array" ref="J956">MATCH(TRUE,ISBLANK(G956:G978),0)</f>
        <v>6</v>
      </c>
      <c r="K956" s="98">
        <f>J956-3</f>
        <v>3</v>
      </c>
      <c r="L956" s="98"/>
      <c r="M956" s="98"/>
      <c r="N956" s="98"/>
      <c r="O956" s="98"/>
      <c r="P956" s="98"/>
      <c r="Q956" s="98"/>
      <c r="R956" s="98"/>
    </row>
    <row r="957" spans="1:18" ht="17.25" customHeight="1">
      <c r="A957" s="260" t="s">
        <v>34</v>
      </c>
      <c r="B957" s="260"/>
      <c r="C957" s="261" t="s">
        <v>36</v>
      </c>
      <c r="D957" s="40" t="s">
        <v>23</v>
      </c>
      <c r="E957" s="69">
        <v>2.683</v>
      </c>
      <c r="F957" s="98"/>
      <c r="G957" s="102" t="str">
        <f>CONCATENATE(D957," - ",E957,", ")</f>
        <v>Brass scrap - 2.683, </v>
      </c>
      <c r="H957" s="268"/>
      <c r="I957" s="98" t="str">
        <f ca="1">IF(J956&gt;=3,(MID(I956,2,1)&amp;MID(I956,4,4)-K956),CELL("address",Z957))</f>
        <v>G958</v>
      </c>
      <c r="J957" s="98" t="str">
        <f ca="1">IF(J956&gt;=4,(MID(I957,1,1)&amp;MID(I957,2,4)+1),CELL("address",AA957))</f>
        <v>G959</v>
      </c>
      <c r="K957" s="98" t="str">
        <f ca="1">IF(J956&gt;=5,(MID(J957,1,1)&amp;MID(J957,2,4)+1),CELL("address",AB957))</f>
        <v>G960</v>
      </c>
      <c r="L957" s="98" t="str">
        <f ca="1">IF(J956&gt;=6,(MID(K957,1,1)&amp;MID(K957,2,4)+1),CELL("address",AC957))</f>
        <v>G961</v>
      </c>
      <c r="M957" s="98" t="str">
        <f ca="1">IF(J956&gt;=7,(MID(L957,1,1)&amp;MID(L957,2,4)+1),CELL("address",AD957))</f>
        <v>$AD$957</v>
      </c>
      <c r="N957" s="98" t="str">
        <f ca="1">IF(J956&gt;=8,(MID(M957,1,1)&amp;MID(M957,2,4)+1),CELL("address",AE957))</f>
        <v>$AE$957</v>
      </c>
      <c r="O957" s="98" t="str">
        <f ca="1">IF(J956&gt;=9,(MID(N957,1,1)&amp;MID(N957,2,4)+1),CELL("address",AF957))</f>
        <v>$AF$957</v>
      </c>
      <c r="P957" s="98" t="str">
        <f ca="1">IF(J956&gt;=10,(MID(O957,1,1)&amp;MID(O957,2,4)+1),CELL("address",AG957))</f>
        <v>$AG$957</v>
      </c>
      <c r="Q957" s="98" t="str">
        <f ca="1">IF(J956&gt;=11,(MID(P957,1,1)&amp;MID(P957,2,4)+1),CELL("address",AH957))</f>
        <v>$AH$957</v>
      </c>
      <c r="R957" s="98" t="str">
        <f ca="1">IF(J956&gt;=12,(MID(Q957,1,1)&amp;MID(Q957,2,4)+1),CELL("address",AI957))</f>
        <v>$AI$957</v>
      </c>
    </row>
    <row r="958" spans="1:15" ht="17.25" customHeight="1">
      <c r="A958" s="260"/>
      <c r="B958" s="260"/>
      <c r="C958" s="261"/>
      <c r="D958" s="40" t="s">
        <v>24</v>
      </c>
      <c r="E958" s="69">
        <v>0.893</v>
      </c>
      <c r="F958" s="98"/>
      <c r="G958" s="102" t="str">
        <f>CONCATENATE(D958," - ",E958,", ")</f>
        <v>Misc. Aluminium scrap - 0.893, </v>
      </c>
      <c r="H958" s="98"/>
      <c r="I958" s="98" t="e">
        <f ca="1">IF(G957&gt;=6,(MID(H958,1,1)&amp;MID(H958,2,4)+1),CELL("address",Z958))</f>
        <v>#VALUE!</v>
      </c>
      <c r="J958" s="98" t="e">
        <f ca="1">IF(G957&gt;=7,(MID(I958,1,1)&amp;MID(I958,2,4)+1),CELL("address",AA958))</f>
        <v>#VALUE!</v>
      </c>
      <c r="K958" s="98" t="e">
        <f ca="1">IF(G957&gt;=8,(MID(J958,1,1)&amp;MID(J958,2,4)+1),CELL("address",AB958))</f>
        <v>#VALUE!</v>
      </c>
      <c r="L958" s="98" t="e">
        <f ca="1">IF(G957&gt;=9,(MID(K958,1,1)&amp;MID(K958,2,4)+1),CELL("address",AC958))</f>
        <v>#VALUE!</v>
      </c>
      <c r="M958" s="98" t="e">
        <f ca="1">IF(G957&gt;=10,(MID(L958,1,1)&amp;MID(L958,2,4)+1),CELL("address",AD958))</f>
        <v>#VALUE!</v>
      </c>
      <c r="N958" s="98" t="e">
        <f ca="1">IF(G957&gt;=11,(MID(M958,1,1)&amp;MID(M958,2,4)+1),CELL("address",AE958))</f>
        <v>#VALUE!</v>
      </c>
      <c r="O958" s="98" t="e">
        <f ca="1">IF(G957&gt;=12,(MID(N958,1,1)&amp;MID(N958,2,4)+1),CELL("address",AF958))</f>
        <v>#VALUE!</v>
      </c>
    </row>
    <row r="959" spans="1:8" ht="17.25" customHeight="1">
      <c r="A959" s="260"/>
      <c r="B959" s="260"/>
      <c r="C959" s="261"/>
      <c r="D959" s="40" t="s">
        <v>37</v>
      </c>
      <c r="E959" s="69">
        <v>0.203</v>
      </c>
      <c r="G959" s="102" t="str">
        <f>CONCATENATE(D959," - ",E959,", ")</f>
        <v>Burnt Cu scrap - 0.203, </v>
      </c>
      <c r="H959" s="1"/>
    </row>
    <row r="960" spans="1:8" ht="17.25" customHeight="1">
      <c r="A960" s="260"/>
      <c r="B960" s="260"/>
      <c r="C960" s="261"/>
      <c r="D960" s="40" t="s">
        <v>58</v>
      </c>
      <c r="E960" s="69">
        <v>0.35</v>
      </c>
      <c r="G960" s="102" t="str">
        <f>CONCATENATE(D960," - ",E960,", ")</f>
        <v>Nuts &amp; Bolts scrap - 0.35, </v>
      </c>
      <c r="H960" s="1"/>
    </row>
    <row r="961" spans="1:8" ht="17.25" customHeight="1">
      <c r="A961" s="262"/>
      <c r="B961" s="263"/>
      <c r="C961" s="221"/>
      <c r="D961" s="40"/>
      <c r="E961" s="69"/>
      <c r="H961" s="1"/>
    </row>
    <row r="962" spans="1:8" ht="15" customHeight="1">
      <c r="A962" s="265"/>
      <c r="B962" s="266"/>
      <c r="C962" s="66"/>
      <c r="D962" s="66"/>
      <c r="E962" s="119">
        <f>SUM(E964:E969)</f>
        <v>11.541</v>
      </c>
      <c r="H962" s="1"/>
    </row>
    <row r="963" spans="1:18" ht="15" customHeight="1">
      <c r="A963" s="275" t="s">
        <v>5</v>
      </c>
      <c r="B963" s="276"/>
      <c r="C963" s="64" t="s">
        <v>17</v>
      </c>
      <c r="D963" s="65" t="s">
        <v>18</v>
      </c>
      <c r="E963" s="68" t="s">
        <v>7</v>
      </c>
      <c r="G963" s="174" t="str">
        <f>CONCATENATE("Misc. Healthy parts/ Non Ferrous  Scrap, Lying at ",C964,". Quantity in MT - ")</f>
        <v>Misc. Healthy parts/ Non Ferrous  Scrap, Lying at TRY Ferozepur. Quantity in MT - </v>
      </c>
      <c r="H963" s="268" t="str">
        <f ca="1">CONCATENATE(G963,G964,(INDIRECT(I964)),(INDIRECT(J964)),(INDIRECT(K964)),(INDIRECT(L964)),(INDIRECT(M964)),(INDIRECT(N964)),(INDIRECT(O964)),(INDIRECT(P964)),(INDIRECT(Q964)),(INDIRECT(R964)),".")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963" s="98" t="str">
        <f aca="true" ca="1" t="array" ref="I963">CELL("address",INDEX(G963:G985,MATCH(TRUE,ISBLANK(G963:G985),0)))</f>
        <v>$G$970</v>
      </c>
      <c r="J963" s="98">
        <f aca="true" t="array" ref="J963">MATCH(TRUE,ISBLANK(G963:G985),0)</f>
        <v>8</v>
      </c>
      <c r="K963" s="98">
        <f>J963-3</f>
        <v>5</v>
      </c>
      <c r="L963" s="98"/>
      <c r="M963" s="98"/>
      <c r="N963" s="98"/>
      <c r="O963" s="98"/>
      <c r="P963" s="98"/>
      <c r="Q963" s="98"/>
      <c r="R963" s="98"/>
    </row>
    <row r="964" spans="1:18" ht="15" customHeight="1">
      <c r="A964" s="260" t="s">
        <v>110</v>
      </c>
      <c r="B964" s="260"/>
      <c r="C964" s="261" t="s">
        <v>42</v>
      </c>
      <c r="D964" s="40" t="s">
        <v>23</v>
      </c>
      <c r="E964" s="69">
        <v>5.187</v>
      </c>
      <c r="G964" s="102" t="str">
        <f aca="true" t="shared" si="6" ref="G964:G969">CONCATENATE(D964," - ",E964,", ")</f>
        <v>Brass scrap - 5.187, </v>
      </c>
      <c r="H964" s="268"/>
      <c r="I964" s="98" t="str">
        <f ca="1">IF(J963&gt;=3,(MID(I963,2,1)&amp;MID(I963,4,4)-K963),CELL("address",Z964))</f>
        <v>G965</v>
      </c>
      <c r="J964" s="98" t="str">
        <f ca="1">IF(J963&gt;=4,(MID(I964,1,1)&amp;MID(I964,2,4)+1),CELL("address",AA964))</f>
        <v>G966</v>
      </c>
      <c r="K964" s="98" t="str">
        <f ca="1">IF(J963&gt;=5,(MID(J964,1,1)&amp;MID(J964,2,4)+1),CELL("address",AB964))</f>
        <v>G967</v>
      </c>
      <c r="L964" s="98" t="str">
        <f ca="1">IF(J963&gt;=6,(MID(K964,1,1)&amp;MID(K964,2,4)+1),CELL("address",AC964))</f>
        <v>G968</v>
      </c>
      <c r="M964" s="98" t="str">
        <f ca="1">IF(J963&gt;=7,(MID(L964,1,1)&amp;MID(L964,2,4)+1),CELL("address",AD964))</f>
        <v>G969</v>
      </c>
      <c r="N964" s="98" t="str">
        <f ca="1">IF(J963&gt;=8,(MID(M964,1,1)&amp;MID(M964,2,4)+1),CELL("address",AE964))</f>
        <v>G970</v>
      </c>
      <c r="O964" s="98" t="str">
        <f ca="1">IF(J963&gt;=9,(MID(N964,1,1)&amp;MID(N964,2,4)+1),CELL("address",AF964))</f>
        <v>$AF$964</v>
      </c>
      <c r="P964" s="98" t="str">
        <f ca="1">IF(J963&gt;=10,(MID(O964,1,1)&amp;MID(O964,2,4)+1),CELL("address",AG964))</f>
        <v>$AG$964</v>
      </c>
      <c r="Q964" s="98" t="str">
        <f ca="1">IF(J963&gt;=11,(MID(P964,1,1)&amp;MID(P964,2,4)+1),CELL("address",AH964))</f>
        <v>$AH$964</v>
      </c>
      <c r="R964" s="98" t="str">
        <f ca="1">IF(J963&gt;=12,(MID(Q964,1,1)&amp;MID(Q964,2,4)+1),CELL("address",AI964))</f>
        <v>$AI$964</v>
      </c>
    </row>
    <row r="965" spans="1:8" ht="15" customHeight="1">
      <c r="A965" s="260"/>
      <c r="B965" s="260"/>
      <c r="C965" s="261"/>
      <c r="D965" s="40" t="s">
        <v>24</v>
      </c>
      <c r="E965" s="69">
        <v>0.926</v>
      </c>
      <c r="G965" s="102" t="str">
        <f t="shared" si="6"/>
        <v>Misc. Aluminium scrap - 0.926, </v>
      </c>
      <c r="H965" s="1"/>
    </row>
    <row r="966" spans="1:15" ht="15" customHeight="1">
      <c r="A966" s="260"/>
      <c r="B966" s="260"/>
      <c r="C966" s="261"/>
      <c r="D966" s="40" t="s">
        <v>27</v>
      </c>
      <c r="E966" s="68">
        <v>0.651</v>
      </c>
      <c r="F966" s="98"/>
      <c r="G966" s="102" t="str">
        <f t="shared" si="6"/>
        <v>Iron scrap - 0.651, </v>
      </c>
      <c r="H966" s="98"/>
      <c r="I966" s="98"/>
      <c r="J966" s="98"/>
      <c r="K966" s="98"/>
      <c r="L966" s="98"/>
      <c r="M966" s="98"/>
      <c r="N966" s="98"/>
      <c r="O966" s="98"/>
    </row>
    <row r="967" spans="1:15" ht="15" customHeight="1">
      <c r="A967" s="260"/>
      <c r="B967" s="260"/>
      <c r="C967" s="261"/>
      <c r="D967" s="40" t="s">
        <v>37</v>
      </c>
      <c r="E967" s="68">
        <v>0.235</v>
      </c>
      <c r="F967" s="98"/>
      <c r="G967" s="102" t="str">
        <f t="shared" si="6"/>
        <v>Burnt Cu scrap - 0.235, </v>
      </c>
      <c r="H967" s="98"/>
      <c r="I967" s="98" t="e">
        <f ca="1">IF(G966&gt;=6,(MID(H967,1,1)&amp;MID(H967,2,4)+1),CELL("address",Z967))</f>
        <v>#VALUE!</v>
      </c>
      <c r="J967" s="98" t="e">
        <f ca="1">IF(G966&gt;=7,(MID(I967,1,1)&amp;MID(I967,2,4)+1),CELL("address",AA967))</f>
        <v>#VALUE!</v>
      </c>
      <c r="K967" s="98" t="e">
        <f ca="1">IF(G966&gt;=8,(MID(J967,1,1)&amp;MID(J967,2,4)+1),CELL("address",AB967))</f>
        <v>#VALUE!</v>
      </c>
      <c r="L967" s="98" t="e">
        <f ca="1">IF(G966&gt;=9,(MID(K967,1,1)&amp;MID(K967,2,4)+1),CELL("address",AC967))</f>
        <v>#VALUE!</v>
      </c>
      <c r="M967" s="98" t="e">
        <f ca="1">IF(G966&gt;=10,(MID(L967,1,1)&amp;MID(L967,2,4)+1),CELL("address",AD967))</f>
        <v>#VALUE!</v>
      </c>
      <c r="N967" s="98" t="e">
        <f ca="1">IF(G966&gt;=11,(MID(M967,1,1)&amp;MID(M967,2,4)+1),CELL("address",AE967))</f>
        <v>#VALUE!</v>
      </c>
      <c r="O967" s="98" t="e">
        <f ca="1">IF(G966&gt;=12,(MID(N967,1,1)&amp;MID(N967,2,4)+1),CELL("address",AF967))</f>
        <v>#VALUE!</v>
      </c>
    </row>
    <row r="968" spans="1:8" ht="15" customHeight="1">
      <c r="A968" s="260"/>
      <c r="B968" s="260"/>
      <c r="C968" s="261"/>
      <c r="D968" s="40" t="s">
        <v>58</v>
      </c>
      <c r="E968" s="68">
        <v>4.092</v>
      </c>
      <c r="G968" s="102" t="str">
        <f t="shared" si="6"/>
        <v>Nuts &amp; Bolts scrap - 4.092, </v>
      </c>
      <c r="H968" s="1"/>
    </row>
    <row r="969" spans="1:8" ht="15" customHeight="1">
      <c r="A969" s="260"/>
      <c r="B969" s="260"/>
      <c r="C969" s="261"/>
      <c r="D969" s="40" t="s">
        <v>64</v>
      </c>
      <c r="E969" s="173">
        <v>0.45</v>
      </c>
      <c r="G969" s="102" t="str">
        <f t="shared" si="6"/>
        <v>Teen Patra scrap - 0.45, </v>
      </c>
      <c r="H969" s="1"/>
    </row>
    <row r="970" spans="1:8" ht="15" customHeight="1">
      <c r="A970" s="39"/>
      <c r="B970" s="42"/>
      <c r="C970" s="221"/>
      <c r="D970" s="40"/>
      <c r="E970" s="173"/>
      <c r="H970" s="1"/>
    </row>
    <row r="971" spans="1:8" ht="15" customHeight="1">
      <c r="A971" s="265"/>
      <c r="B971" s="266"/>
      <c r="C971" s="66"/>
      <c r="D971" s="66"/>
      <c r="E971" s="119">
        <f>SUM(E973:E977)</f>
        <v>3.672</v>
      </c>
      <c r="H971" s="1"/>
    </row>
    <row r="972" spans="1:18" ht="15" customHeight="1">
      <c r="A972" s="260" t="s">
        <v>5</v>
      </c>
      <c r="B972" s="260"/>
      <c r="C972" s="64" t="s">
        <v>17</v>
      </c>
      <c r="D972" s="65" t="s">
        <v>18</v>
      </c>
      <c r="E972" s="68" t="s">
        <v>7</v>
      </c>
      <c r="G972" s="174" t="str">
        <f>CONCATENATE("Misc. Healthy parts/ Non Ferrous  Scrap, Lying at ",C973,". Quantity in MT - ")</f>
        <v>Misc. Healthy parts/ Non Ferrous  Scrap, Lying at OL store Ropar. Quantity in MT - </v>
      </c>
      <c r="H972" s="268" t="str">
        <f ca="1">CONCATENATE(G972,G973,(INDIRECT(I973)),(INDIRECT(J973)),(INDIRECT(K973)),(INDIRECT(L973)),(INDIRECT(M973)),(INDIRECT(N973)),(INDIRECT(O973)),(INDIRECT(P973)),(INDIRECT(Q973)),(INDIRECT(R973)),".")</f>
        <v>Misc. Healthy parts/ Non Ferrous  Scrap, Lying at OL store Ropar. Quantity in MT - Brass scrap - 2.473, Misc. Aluminium scrap - 0.346, Burnt Cu scrap - 0.298, All Alumn. Conductor Scrap - 0.317, Misc. Copper scrap - 0.238, .</v>
      </c>
      <c r="I972" s="98" t="str">
        <f aca="true" ca="1" t="array" ref="I972">CELL("address",INDEX(G972:G994,MATCH(TRUE,ISBLANK(G972:G994),0)))</f>
        <v>$G$978</v>
      </c>
      <c r="J972" s="98">
        <f aca="true" t="array" ref="J972">MATCH(TRUE,ISBLANK(G972:G994),0)</f>
        <v>7</v>
      </c>
      <c r="K972" s="98">
        <f>J972-3</f>
        <v>4</v>
      </c>
      <c r="L972" s="98"/>
      <c r="M972" s="98"/>
      <c r="N972" s="98"/>
      <c r="O972" s="98"/>
      <c r="P972" s="98"/>
      <c r="Q972" s="98"/>
      <c r="R972" s="98"/>
    </row>
    <row r="973" spans="1:18" ht="15" customHeight="1">
      <c r="A973" s="275" t="s">
        <v>26</v>
      </c>
      <c r="B973" s="276"/>
      <c r="C973" s="277" t="s">
        <v>46</v>
      </c>
      <c r="D973" s="40" t="s">
        <v>23</v>
      </c>
      <c r="E973" s="69">
        <v>2.473</v>
      </c>
      <c r="G973" s="102" t="str">
        <f>CONCATENATE(D973," - ",E973,", ")</f>
        <v>Brass scrap - 2.473, </v>
      </c>
      <c r="H973" s="268"/>
      <c r="I973" s="98" t="str">
        <f ca="1">IF(J972&gt;=3,(MID(I972,2,1)&amp;MID(I972,4,4)-K972),CELL("address",Z973))</f>
        <v>G974</v>
      </c>
      <c r="J973" s="98" t="str">
        <f ca="1">IF(J972&gt;=4,(MID(I973,1,1)&amp;MID(I973,2,4)+1),CELL("address",AA973))</f>
        <v>G975</v>
      </c>
      <c r="K973" s="98" t="str">
        <f ca="1">IF(J972&gt;=5,(MID(J973,1,1)&amp;MID(J973,2,4)+1),CELL("address",AB973))</f>
        <v>G976</v>
      </c>
      <c r="L973" s="98" t="str">
        <f ca="1">IF(J972&gt;=6,(MID(K973,1,1)&amp;MID(K973,2,4)+1),CELL("address",AC973))</f>
        <v>G977</v>
      </c>
      <c r="M973" s="98" t="str">
        <f ca="1">IF(J972&gt;=7,(MID(L973,1,1)&amp;MID(L973,2,4)+1),CELL("address",AD973))</f>
        <v>G978</v>
      </c>
      <c r="N973" s="98" t="str">
        <f ca="1">IF(J972&gt;=8,(MID(M973,1,1)&amp;MID(M973,2,4)+1),CELL("address",AE973))</f>
        <v>$AE$973</v>
      </c>
      <c r="O973" s="98" t="str">
        <f ca="1">IF(J972&gt;=9,(MID(N973,1,1)&amp;MID(N973,2,4)+1),CELL("address",AF973))</f>
        <v>$AF$973</v>
      </c>
      <c r="P973" s="98" t="str">
        <f ca="1">IF(J972&gt;=10,(MID(O973,1,1)&amp;MID(O973,2,4)+1),CELL("address",AG973))</f>
        <v>$AG$973</v>
      </c>
      <c r="Q973" s="98" t="str">
        <f ca="1">IF(J972&gt;=11,(MID(P973,1,1)&amp;MID(P973,2,4)+1),CELL("address",AH973))</f>
        <v>$AH$973</v>
      </c>
      <c r="R973" s="98" t="str">
        <f ca="1">IF(J972&gt;=12,(MID(Q973,1,1)&amp;MID(Q973,2,4)+1),CELL("address",AI973))</f>
        <v>$AI$973</v>
      </c>
    </row>
    <row r="974" spans="1:15" ht="15" customHeight="1">
      <c r="A974" s="280"/>
      <c r="B974" s="281"/>
      <c r="C974" s="278"/>
      <c r="D974" s="40" t="s">
        <v>24</v>
      </c>
      <c r="E974" s="69">
        <v>0.346</v>
      </c>
      <c r="F974" s="98"/>
      <c r="G974" s="102" t="str">
        <f>CONCATENATE(D974," - ",E974,", ")</f>
        <v>Misc. Aluminium scrap - 0.346, </v>
      </c>
      <c r="H974" s="98"/>
      <c r="I974" s="98"/>
      <c r="J974" s="98"/>
      <c r="K974" s="98"/>
      <c r="L974" s="98"/>
      <c r="M974" s="98"/>
      <c r="N974" s="98"/>
      <c r="O974" s="98"/>
    </row>
    <row r="975" spans="1:15" ht="15" customHeight="1">
      <c r="A975" s="280"/>
      <c r="B975" s="281"/>
      <c r="C975" s="278"/>
      <c r="D975" s="39" t="s">
        <v>37</v>
      </c>
      <c r="E975" s="69">
        <v>0.298</v>
      </c>
      <c r="F975" s="98"/>
      <c r="G975" s="102" t="str">
        <f>CONCATENATE(D975," - ",E975,", ")</f>
        <v>Burnt Cu scrap - 0.298, </v>
      </c>
      <c r="H975" s="98"/>
      <c r="I975" s="98" t="e">
        <f ca="1">IF(G974&gt;=6,(MID(H975,1,1)&amp;MID(H975,2,4)+1),CELL("address",Z975))</f>
        <v>#VALUE!</v>
      </c>
      <c r="J975" s="98" t="e">
        <f ca="1">IF(G974&gt;=7,(MID(I975,1,1)&amp;MID(I975,2,4)+1),CELL("address",AA975))</f>
        <v>#VALUE!</v>
      </c>
      <c r="K975" s="98" t="e">
        <f ca="1">IF(G974&gt;=8,(MID(J975,1,1)&amp;MID(J975,2,4)+1),CELL("address",AB975))</f>
        <v>#VALUE!</v>
      </c>
      <c r="L975" s="98" t="e">
        <f ca="1">IF(G974&gt;=9,(MID(K975,1,1)&amp;MID(K975,2,4)+1),CELL("address",AC975))</f>
        <v>#VALUE!</v>
      </c>
      <c r="M975" s="98" t="e">
        <f ca="1">IF(G974&gt;=10,(MID(L975,1,1)&amp;MID(L975,2,4)+1),CELL("address",AD975))</f>
        <v>#VALUE!</v>
      </c>
      <c r="N975" s="98" t="e">
        <f ca="1">IF(G974&gt;=11,(MID(M975,1,1)&amp;MID(M975,2,4)+1),CELL("address",AE975))</f>
        <v>#VALUE!</v>
      </c>
      <c r="O975" s="98" t="e">
        <f ca="1">IF(G974&gt;=12,(MID(N975,1,1)&amp;MID(N975,2,4)+1),CELL("address",AF975))</f>
        <v>#VALUE!</v>
      </c>
    </row>
    <row r="976" spans="1:8" ht="15" customHeight="1">
      <c r="A976" s="280"/>
      <c r="B976" s="281"/>
      <c r="C976" s="278"/>
      <c r="D976" s="45" t="s">
        <v>32</v>
      </c>
      <c r="E976" s="69">
        <v>0.317</v>
      </c>
      <c r="G976" s="102" t="str">
        <f>CONCATENATE(D976," - ",E976,", ")</f>
        <v>All Alumn. Conductor Scrap - 0.317, </v>
      </c>
      <c r="H976" s="1"/>
    </row>
    <row r="977" spans="1:8" ht="15" customHeight="1">
      <c r="A977" s="283"/>
      <c r="B977" s="284"/>
      <c r="C977" s="287"/>
      <c r="D977" s="40" t="s">
        <v>45</v>
      </c>
      <c r="E977" s="69">
        <v>0.238</v>
      </c>
      <c r="G977" s="102" t="str">
        <f>CONCATENATE(D977," - ",E977,", ")</f>
        <v>Misc. Copper scrap - 0.238, </v>
      </c>
      <c r="H977" s="1"/>
    </row>
    <row r="978" spans="1:8" ht="15" customHeight="1">
      <c r="A978" s="50"/>
      <c r="B978" s="59"/>
      <c r="C978" s="225"/>
      <c r="D978" s="40"/>
      <c r="E978" s="69"/>
      <c r="H978" s="1"/>
    </row>
    <row r="979" spans="1:15" ht="15" customHeight="1">
      <c r="A979" s="265"/>
      <c r="B979" s="266"/>
      <c r="C979" s="66"/>
      <c r="D979" s="66"/>
      <c r="E979" s="119">
        <f>SUM(E981:E982)</f>
        <v>2.408</v>
      </c>
      <c r="F979" s="98"/>
      <c r="G979" s="98"/>
      <c r="H979" s="98"/>
      <c r="I979" s="98"/>
      <c r="J979" s="98"/>
      <c r="K979" s="98"/>
      <c r="L979" s="98"/>
      <c r="M979" s="98"/>
      <c r="N979" s="98"/>
      <c r="O979" s="98"/>
    </row>
    <row r="980" spans="1:18" ht="15" customHeight="1">
      <c r="A980" s="260" t="s">
        <v>5</v>
      </c>
      <c r="B980" s="260"/>
      <c r="C980" s="64" t="s">
        <v>17</v>
      </c>
      <c r="D980" s="65" t="s">
        <v>18</v>
      </c>
      <c r="E980" s="68" t="s">
        <v>7</v>
      </c>
      <c r="F980" s="98"/>
      <c r="G980" s="174" t="str">
        <f>CONCATENATE("Misc. Healthy parts/ Non Ferrous  Scrap, Lying at ",C981,". Quantity in MT - ")</f>
        <v>Misc. Healthy parts/ Non Ferrous  Scrap, Lying at TRY Ferozepur. Quantity in MT - </v>
      </c>
      <c r="H980" s="268" t="str">
        <f ca="1">CONCATENATE(G980,G981,(INDIRECT(I981)),(INDIRECT(J981)),(INDIRECT(K981)),(INDIRECT(L981)),(INDIRECT(M981)),(INDIRECT(N981)),(INDIRECT(O981)),(INDIRECT(P981)),(INDIRECT(Q981)),(INDIRECT(R981)),".")</f>
        <v>Misc. Healthy parts/ Non Ferrous  Scrap, Lying at TRY Ferozepur. Quantity in MT - Brass scrap - 2.09, Misc. Alumn. Scrap - 0.318, .</v>
      </c>
      <c r="I980" s="98" t="str">
        <f aca="true" ca="1" t="array" ref="I980">CELL("address",INDEX(G980:G1002,MATCH(TRUE,ISBLANK(G980:G1002),0)))</f>
        <v>$G$983</v>
      </c>
      <c r="J980" s="98">
        <f aca="true" t="array" ref="J980">MATCH(TRUE,ISBLANK(G980:G1002),0)</f>
        <v>4</v>
      </c>
      <c r="K980" s="98">
        <f>J980-3</f>
        <v>1</v>
      </c>
      <c r="L980" s="98"/>
      <c r="M980" s="98"/>
      <c r="N980" s="98"/>
      <c r="O980" s="98"/>
      <c r="P980" s="98"/>
      <c r="Q980" s="98"/>
      <c r="R980" s="98"/>
    </row>
    <row r="981" spans="1:18" ht="18" customHeight="1">
      <c r="A981" s="260" t="s">
        <v>38</v>
      </c>
      <c r="B981" s="260"/>
      <c r="C981" s="261" t="s">
        <v>42</v>
      </c>
      <c r="D981" s="45" t="s">
        <v>23</v>
      </c>
      <c r="E981" s="120">
        <v>2.09</v>
      </c>
      <c r="G981" s="102" t="str">
        <f>CONCATENATE(D981," - ",E981,", ")</f>
        <v>Brass scrap - 2.09, </v>
      </c>
      <c r="H981" s="268"/>
      <c r="I981" s="98" t="str">
        <f ca="1">IF(J980&gt;=3,(MID(I980,2,1)&amp;MID(I980,4,4)-K980),CELL("address",Z981))</f>
        <v>G982</v>
      </c>
      <c r="J981" s="98" t="str">
        <f ca="1">IF(J980&gt;=4,(MID(I981,1,1)&amp;MID(I981,2,4)+1),CELL("address",AA981))</f>
        <v>G983</v>
      </c>
      <c r="K981" s="98" t="str">
        <f ca="1">IF(J980&gt;=5,(MID(J981,1,1)&amp;MID(J981,2,4)+1),CELL("address",AB981))</f>
        <v>$AB$981</v>
      </c>
      <c r="L981" s="98" t="str">
        <f ca="1">IF(J980&gt;=6,(MID(K981,1,1)&amp;MID(K981,2,4)+1),CELL("address",AC981))</f>
        <v>$AC$981</v>
      </c>
      <c r="M981" s="98" t="str">
        <f ca="1">IF(J980&gt;=7,(MID(L981,1,1)&amp;MID(L981,2,4)+1),CELL("address",AD981))</f>
        <v>$AD$981</v>
      </c>
      <c r="N981" s="98" t="str">
        <f ca="1">IF(J980&gt;=8,(MID(M981,1,1)&amp;MID(M981,2,4)+1),CELL("address",AE981))</f>
        <v>$AE$981</v>
      </c>
      <c r="O981" s="98" t="str">
        <f ca="1">IF(J980&gt;=9,(MID(N981,1,1)&amp;MID(N981,2,4)+1),CELL("address",AF981))</f>
        <v>$AF$981</v>
      </c>
      <c r="P981" s="98" t="str">
        <f ca="1">IF(J980&gt;=10,(MID(O981,1,1)&amp;MID(O981,2,4)+1),CELL("address",AG981))</f>
        <v>$AG$981</v>
      </c>
      <c r="Q981" s="98" t="str">
        <f ca="1">IF(J980&gt;=11,(MID(P981,1,1)&amp;MID(P981,2,4)+1),CELL("address",AH981))</f>
        <v>$AH$981</v>
      </c>
      <c r="R981" s="98" t="str">
        <f ca="1">IF(J980&gt;=12,(MID(Q981,1,1)&amp;MID(Q981,2,4)+1),CELL("address",AI981))</f>
        <v>$AI$981</v>
      </c>
    </row>
    <row r="982" spans="1:8" ht="19.5" customHeight="1">
      <c r="A982" s="260"/>
      <c r="B982" s="260"/>
      <c r="C982" s="261"/>
      <c r="D982" s="45" t="s">
        <v>31</v>
      </c>
      <c r="E982" s="120">
        <v>0.318</v>
      </c>
      <c r="G982" s="102" t="str">
        <f>CONCATENATE(D982," - ",E982,", ")</f>
        <v>Misc. Alumn. Scrap - 0.318, </v>
      </c>
      <c r="H982" s="1"/>
    </row>
    <row r="983" spans="1:8" ht="15" customHeight="1">
      <c r="A983" s="262"/>
      <c r="B983" s="263"/>
      <c r="C983" s="221"/>
      <c r="D983" s="45"/>
      <c r="E983" s="120"/>
      <c r="H983" s="1"/>
    </row>
    <row r="984" spans="1:8" ht="15" customHeight="1">
      <c r="A984" s="265"/>
      <c r="B984" s="266"/>
      <c r="C984" s="66"/>
      <c r="D984" s="66"/>
      <c r="E984" s="119">
        <f>SUM(E986:E989)</f>
        <v>2.7289999999999996</v>
      </c>
      <c r="H984" s="1"/>
    </row>
    <row r="985" spans="1:18" ht="15" customHeight="1">
      <c r="A985" s="262" t="s">
        <v>5</v>
      </c>
      <c r="B985" s="263"/>
      <c r="C985" s="64" t="s">
        <v>17</v>
      </c>
      <c r="D985" s="65" t="s">
        <v>18</v>
      </c>
      <c r="E985" s="68" t="s">
        <v>7</v>
      </c>
      <c r="G985" s="174" t="str">
        <f>CONCATENATE("Misc. Healthy parts/ Non Ferrous  Scrap, Lying at ",C986,". Quantity in MT - ")</f>
        <v>Misc. Healthy parts/ Non Ferrous  Scrap, Lying at TRY Malerkotla. Quantity in MT - </v>
      </c>
      <c r="H985" s="268" t="str">
        <f ca="1">CONCATENATE(G985,G986,(INDIRECT(I986)),(INDIRECT(J986)),(INDIRECT(K986)),(INDIRECT(L986)),(INDIRECT(M986)),(INDIRECT(N986)),(INDIRECT(O986)),(INDIRECT(P986)),(INDIRECT(Q986)),(INDIRECT(R986)),".")</f>
        <v>Misc. Healthy parts/ Non Ferrous  Scrap, Lying at TRY Malerkotla. Quantity in MT - Brass scrap - 2.114, Misc. Aluminium scrap - 0.183, Burnt Aluminium scrap - 0.287, Burnt Cu scrap - 0.145, .</v>
      </c>
      <c r="I985" s="98" t="str">
        <f aca="true" ca="1" t="array" ref="I985">CELL("address",INDEX(G985:G1007,MATCH(TRUE,ISBLANK(G985:G1007),0)))</f>
        <v>$G$990</v>
      </c>
      <c r="J985" s="98">
        <f aca="true" t="array" ref="J985">MATCH(TRUE,ISBLANK(G985:G1007),0)</f>
        <v>6</v>
      </c>
      <c r="K985" s="98">
        <f>J985-3</f>
        <v>3</v>
      </c>
      <c r="L985" s="98"/>
      <c r="M985" s="98"/>
      <c r="N985" s="98"/>
      <c r="O985" s="98"/>
      <c r="P985" s="98"/>
      <c r="Q985" s="98"/>
      <c r="R985" s="98"/>
    </row>
    <row r="986" spans="1:18" ht="15" customHeight="1">
      <c r="A986" s="260" t="s">
        <v>48</v>
      </c>
      <c r="B986" s="260"/>
      <c r="C986" s="261" t="s">
        <v>28</v>
      </c>
      <c r="D986" s="40" t="s">
        <v>23</v>
      </c>
      <c r="E986" s="69">
        <v>2.114</v>
      </c>
      <c r="F986" s="98"/>
      <c r="G986" s="102" t="str">
        <f>CONCATENATE(D986," - ",E986,", ")</f>
        <v>Brass scrap - 2.114, </v>
      </c>
      <c r="H986" s="268"/>
      <c r="I986" s="98" t="str">
        <f ca="1">IF(J985&gt;=3,(MID(I985,2,1)&amp;MID(I985,4,4)-K985),CELL("address",Z986))</f>
        <v>G987</v>
      </c>
      <c r="J986" s="98" t="str">
        <f ca="1">IF(J985&gt;=4,(MID(I986,1,1)&amp;MID(I986,2,4)+1),CELL("address",AA986))</f>
        <v>G988</v>
      </c>
      <c r="K986" s="98" t="str">
        <f ca="1">IF(J985&gt;=5,(MID(J986,1,1)&amp;MID(J986,2,4)+1),CELL("address",AB986))</f>
        <v>G989</v>
      </c>
      <c r="L986" s="98" t="str">
        <f ca="1">IF(J985&gt;=6,(MID(K986,1,1)&amp;MID(K986,2,4)+1),CELL("address",AC986))</f>
        <v>G990</v>
      </c>
      <c r="M986" s="98" t="str">
        <f ca="1">IF(J985&gt;=7,(MID(L986,1,1)&amp;MID(L986,2,4)+1),CELL("address",AD986))</f>
        <v>$AD$986</v>
      </c>
      <c r="N986" s="98" t="str">
        <f ca="1">IF(J985&gt;=8,(MID(M986,1,1)&amp;MID(M986,2,4)+1),CELL("address",AE986))</f>
        <v>$AE$986</v>
      </c>
      <c r="O986" s="98" t="str">
        <f ca="1">IF(J985&gt;=9,(MID(N986,1,1)&amp;MID(N986,2,4)+1),CELL("address",AF986))</f>
        <v>$AF$986</v>
      </c>
      <c r="P986" s="98" t="str">
        <f ca="1">IF(J985&gt;=10,(MID(O986,1,1)&amp;MID(O986,2,4)+1),CELL("address",AG986))</f>
        <v>$AG$986</v>
      </c>
      <c r="Q986" s="98" t="str">
        <f ca="1">IF(J985&gt;=11,(MID(P986,1,1)&amp;MID(P986,2,4)+1),CELL("address",AH986))</f>
        <v>$AH$986</v>
      </c>
      <c r="R986" s="98" t="str">
        <f ca="1">IF(J985&gt;=12,(MID(Q986,1,1)&amp;MID(Q986,2,4)+1),CELL("address",AI986))</f>
        <v>$AI$986</v>
      </c>
    </row>
    <row r="987" spans="1:15" ht="15" customHeight="1">
      <c r="A987" s="260"/>
      <c r="B987" s="260"/>
      <c r="C987" s="261"/>
      <c r="D987" s="40" t="s">
        <v>24</v>
      </c>
      <c r="E987" s="69">
        <v>0.183</v>
      </c>
      <c r="F987" s="98"/>
      <c r="G987" s="102" t="str">
        <f>CONCATENATE(D987," - ",E987,", ")</f>
        <v>Misc. Aluminium scrap - 0.183, </v>
      </c>
      <c r="H987" s="98"/>
      <c r="I987" s="98" t="e">
        <f ca="1">IF(G986&gt;=6,(MID(H987,1,1)&amp;MID(H987,2,4)+1),CELL("address",Z987))</f>
        <v>#VALUE!</v>
      </c>
      <c r="J987" s="98" t="e">
        <f ca="1">IF(G986&gt;=7,(MID(I987,1,1)&amp;MID(I987,2,4)+1),CELL("address",AA987))</f>
        <v>#VALUE!</v>
      </c>
      <c r="K987" s="98" t="e">
        <f ca="1">IF(G986&gt;=8,(MID(J987,1,1)&amp;MID(J987,2,4)+1),CELL("address",AB987))</f>
        <v>#VALUE!</v>
      </c>
      <c r="L987" s="98" t="e">
        <f ca="1">IF(G986&gt;=9,(MID(K987,1,1)&amp;MID(K987,2,4)+1),CELL("address",AC987))</f>
        <v>#VALUE!</v>
      </c>
      <c r="M987" s="98" t="e">
        <f ca="1">IF(G986&gt;=10,(MID(L987,1,1)&amp;MID(L987,2,4)+1),CELL("address",AD987))</f>
        <v>#VALUE!</v>
      </c>
      <c r="N987" s="98" t="e">
        <f ca="1">IF(G986&gt;=11,(MID(M987,1,1)&amp;MID(M987,2,4)+1),CELL("address",AE987))</f>
        <v>#VALUE!</v>
      </c>
      <c r="O987" s="98" t="e">
        <f ca="1">IF(G986&gt;=12,(MID(N987,1,1)&amp;MID(N987,2,4)+1),CELL("address",AF987))</f>
        <v>#VALUE!</v>
      </c>
    </row>
    <row r="988" spans="1:8" ht="15" customHeight="1">
      <c r="A988" s="260"/>
      <c r="B988" s="260"/>
      <c r="C988" s="261"/>
      <c r="D988" s="40" t="s">
        <v>41</v>
      </c>
      <c r="E988" s="69">
        <v>0.287</v>
      </c>
      <c r="G988" s="102" t="str">
        <f>CONCATENATE(D988," - ",E988,", ")</f>
        <v>Burnt Aluminium scrap - 0.287, </v>
      </c>
      <c r="H988" s="1"/>
    </row>
    <row r="989" spans="1:8" ht="15" customHeight="1">
      <c r="A989" s="260"/>
      <c r="B989" s="260"/>
      <c r="C989" s="261"/>
      <c r="D989" s="40" t="s">
        <v>37</v>
      </c>
      <c r="E989" s="68">
        <v>0.145</v>
      </c>
      <c r="G989" s="102" t="str">
        <f>CONCATENATE(D989," - ",E989,", ")</f>
        <v>Burnt Cu scrap - 0.145, </v>
      </c>
      <c r="H989" s="1"/>
    </row>
    <row r="990" spans="1:8" ht="15" customHeight="1">
      <c r="A990" s="39"/>
      <c r="B990" s="42"/>
      <c r="C990" s="221"/>
      <c r="D990" s="40"/>
      <c r="E990" s="68"/>
      <c r="H990" s="1"/>
    </row>
    <row r="991" spans="1:8" ht="15" customHeight="1">
      <c r="A991" s="265"/>
      <c r="B991" s="266"/>
      <c r="C991" s="66"/>
      <c r="D991" s="66"/>
      <c r="E991" s="119">
        <f>SUM(E993:E996)</f>
        <v>0.418</v>
      </c>
      <c r="H991" s="1"/>
    </row>
    <row r="992" spans="1:18" ht="15" customHeight="1">
      <c r="A992" s="260" t="s">
        <v>5</v>
      </c>
      <c r="B992" s="260"/>
      <c r="C992" s="64" t="s">
        <v>17</v>
      </c>
      <c r="D992" s="65" t="s">
        <v>18</v>
      </c>
      <c r="E992" s="68" t="s">
        <v>7</v>
      </c>
      <c r="G992" s="174" t="str">
        <f>CONCATENATE("Misc. Healthy parts/ Non Ferrous  Scrap, Lying at ",C993,". Quantity in MT - ")</f>
        <v>Misc. Healthy parts/ Non Ferrous  Scrap, Lying at CS Mohali. Quantity in MT - </v>
      </c>
      <c r="H992" s="268" t="str">
        <f ca="1">CONCATENATE(G992,G993,(INDIRECT(I993)),(INDIRECT(J993)),(INDIRECT(K993)),(INDIRECT(L993)),(INDIRECT(M993)),(INDIRECT(N993)),(INDIRECT(O993)),(INDIRECT(P993)),(INDIRECT(Q993)),(INDIRECT(R993)),".")</f>
        <v>Misc. Healthy parts/ Non Ferrous  Scrap, Lying at CS Mohali. Quantity in MT - Misc. Copper scrap - 0.313, Burnt Cu scrap - 0.041, All Alumn. Conductor Scrap - 0.054, Brass scrap - 0.01, .</v>
      </c>
      <c r="I992" s="98" t="str">
        <f aca="true" ca="1" t="array" ref="I992">CELL("address",INDEX(G992:G1015,MATCH(TRUE,ISBLANK(G992:G1015),0)))</f>
        <v>$G$997</v>
      </c>
      <c r="J992" s="98">
        <f aca="true" t="array" ref="J992">MATCH(TRUE,ISBLANK(G992:G1015),0)</f>
        <v>6</v>
      </c>
      <c r="K992" s="98">
        <f>J992-3</f>
        <v>3</v>
      </c>
      <c r="L992" s="98"/>
      <c r="M992" s="98"/>
      <c r="N992" s="98"/>
      <c r="O992" s="98"/>
      <c r="P992" s="98"/>
      <c r="Q992" s="98"/>
      <c r="R992" s="98"/>
    </row>
    <row r="993" spans="1:18" ht="15" customHeight="1">
      <c r="A993" s="260" t="s">
        <v>39</v>
      </c>
      <c r="B993" s="260"/>
      <c r="C993" s="261" t="s">
        <v>62</v>
      </c>
      <c r="D993" s="40" t="s">
        <v>45</v>
      </c>
      <c r="E993" s="69">
        <v>0.313</v>
      </c>
      <c r="F993" s="98"/>
      <c r="G993" s="102" t="str">
        <f>CONCATENATE(D993," - ",E993,", ")</f>
        <v>Misc. Copper scrap - 0.313, </v>
      </c>
      <c r="H993" s="268"/>
      <c r="I993" s="98" t="str">
        <f ca="1">IF(J992&gt;=3,(MID(I992,2,1)&amp;MID(I992,4,4)-K992),CELL("address",Z993))</f>
        <v>G994</v>
      </c>
      <c r="J993" s="98" t="str">
        <f ca="1">IF(J992&gt;=4,(MID(I993,1,1)&amp;MID(I993,2,4)+1),CELL("address",AA993))</f>
        <v>G995</v>
      </c>
      <c r="K993" s="98" t="str">
        <f ca="1">IF(J992&gt;=5,(MID(J993,1,1)&amp;MID(J993,2,4)+1),CELL("address",AB993))</f>
        <v>G996</v>
      </c>
      <c r="L993" s="98" t="str">
        <f ca="1">IF(J992&gt;=6,(MID(K993,1,1)&amp;MID(K993,2,4)+1),CELL("address",AC993))</f>
        <v>G997</v>
      </c>
      <c r="M993" s="98" t="str">
        <f ca="1">IF(J992&gt;=7,(MID(L993,1,1)&amp;MID(L993,2,4)+1),CELL("address",AD993))</f>
        <v>$AD$993</v>
      </c>
      <c r="N993" s="98" t="str">
        <f ca="1">IF(J992&gt;=8,(MID(M993,1,1)&amp;MID(M993,2,4)+1),CELL("address",AE993))</f>
        <v>$AE$993</v>
      </c>
      <c r="O993" s="98" t="str">
        <f ca="1">IF(J992&gt;=9,(MID(N993,1,1)&amp;MID(N993,2,4)+1),CELL("address",AF993))</f>
        <v>$AF$993</v>
      </c>
      <c r="P993" s="98" t="str">
        <f ca="1">IF(J992&gt;=10,(MID(O993,1,1)&amp;MID(O993,2,4)+1),CELL("address",AG993))</f>
        <v>$AG$993</v>
      </c>
      <c r="Q993" s="98" t="str">
        <f ca="1">IF(J992&gt;=11,(MID(P993,1,1)&amp;MID(P993,2,4)+1),CELL("address",AH993))</f>
        <v>$AH$993</v>
      </c>
      <c r="R993" s="98" t="str">
        <f ca="1">IF(J992&gt;=12,(MID(Q993,1,1)&amp;MID(Q993,2,4)+1),CELL("address",AI993))</f>
        <v>$AI$993</v>
      </c>
    </row>
    <row r="994" spans="1:15" ht="15" customHeight="1">
      <c r="A994" s="260"/>
      <c r="B994" s="260"/>
      <c r="C994" s="261"/>
      <c r="D994" s="39" t="s">
        <v>37</v>
      </c>
      <c r="E994" s="69">
        <v>0.041</v>
      </c>
      <c r="F994" s="98"/>
      <c r="G994" s="102" t="str">
        <f>CONCATENATE(D994," - ",E994,", ")</f>
        <v>Burnt Cu scrap - 0.041, </v>
      </c>
      <c r="H994" s="98"/>
      <c r="I994" s="98" t="e">
        <f ca="1">IF(G993&gt;=6,(MID(H994,1,1)&amp;MID(H994,2,4)+1),CELL("address",Z994))</f>
        <v>#VALUE!</v>
      </c>
      <c r="J994" s="98" t="e">
        <f ca="1">IF(G993&gt;=7,(MID(I994,1,1)&amp;MID(I994,2,4)+1),CELL("address",AA994))</f>
        <v>#VALUE!</v>
      </c>
      <c r="K994" s="98" t="e">
        <f ca="1">IF(G993&gt;=8,(MID(J994,1,1)&amp;MID(J994,2,4)+1),CELL("address",AB994))</f>
        <v>#VALUE!</v>
      </c>
      <c r="L994" s="98" t="e">
        <f ca="1">IF(G993&gt;=9,(MID(K994,1,1)&amp;MID(K994,2,4)+1),CELL("address",AC994))</f>
        <v>#VALUE!</v>
      </c>
      <c r="M994" s="98" t="e">
        <f ca="1">IF(G993&gt;=10,(MID(L994,1,1)&amp;MID(L994,2,4)+1),CELL("address",AD994))</f>
        <v>#VALUE!</v>
      </c>
      <c r="N994" s="98" t="e">
        <f ca="1">IF(G993&gt;=11,(MID(M994,1,1)&amp;MID(M994,2,4)+1),CELL("address",AE994))</f>
        <v>#VALUE!</v>
      </c>
      <c r="O994" s="98" t="e">
        <f ca="1">IF(G993&gt;=12,(MID(N994,1,1)&amp;MID(N994,2,4)+1),CELL("address",AF994))</f>
        <v>#VALUE!</v>
      </c>
    </row>
    <row r="995" spans="1:8" ht="15" customHeight="1">
      <c r="A995" s="260"/>
      <c r="B995" s="260"/>
      <c r="C995" s="261"/>
      <c r="D995" s="45" t="s">
        <v>32</v>
      </c>
      <c r="E995" s="69">
        <v>0.054</v>
      </c>
      <c r="G995" s="102" t="str">
        <f>CONCATENATE(D995," - ",E995,", ")</f>
        <v>All Alumn. Conductor Scrap - 0.054, </v>
      </c>
      <c r="H995" s="1"/>
    </row>
    <row r="996" spans="1:8" ht="15" customHeight="1">
      <c r="A996" s="260"/>
      <c r="B996" s="260"/>
      <c r="C996" s="261"/>
      <c r="D996" s="40" t="s">
        <v>23</v>
      </c>
      <c r="E996" s="69">
        <v>0.01</v>
      </c>
      <c r="G996" s="102" t="str">
        <f>CONCATENATE(D996," - ",E996,", ")</f>
        <v>Brass scrap - 0.01, </v>
      </c>
      <c r="H996" s="1"/>
    </row>
    <row r="997" spans="1:15" ht="15" customHeight="1">
      <c r="A997" s="39"/>
      <c r="B997" s="42"/>
      <c r="C997" s="221"/>
      <c r="D997" s="40"/>
      <c r="E997" s="69"/>
      <c r="F997" s="98"/>
      <c r="G997" s="98"/>
      <c r="H997" s="98"/>
      <c r="I997" s="98"/>
      <c r="J997" s="98"/>
      <c r="K997" s="98"/>
      <c r="L997" s="98"/>
      <c r="M997" s="98"/>
      <c r="N997" s="98"/>
      <c r="O997" s="98"/>
    </row>
    <row r="998" spans="1:15" ht="15" customHeight="1">
      <c r="A998" s="262"/>
      <c r="B998" s="263"/>
      <c r="C998" s="221"/>
      <c r="D998" s="40"/>
      <c r="E998" s="119">
        <f>E1000</f>
        <v>0.092</v>
      </c>
      <c r="F998" s="98"/>
      <c r="G998" s="98"/>
      <c r="H998" s="98"/>
      <c r="I998" s="98" t="str">
        <f ca="1">IF(G997&gt;=6,(MID(H998,1,1)&amp;MID(H998,2,4)+1),CELL("address",Z998))</f>
        <v>$Z$998</v>
      </c>
      <c r="J998" s="98" t="str">
        <f ca="1">IF(G997&gt;=7,(MID(I998,1,1)&amp;MID(I998,2,4)+1),CELL("address",AA998))</f>
        <v>$AA$998</v>
      </c>
      <c r="K998" s="98" t="str">
        <f ca="1">IF(G997&gt;=8,(MID(J998,1,1)&amp;MID(J998,2,4)+1),CELL("address",AB998))</f>
        <v>$AB$998</v>
      </c>
      <c r="L998" s="98" t="str">
        <f ca="1">IF(G997&gt;=9,(MID(K998,1,1)&amp;MID(K998,2,4)+1),CELL("address",AC998))</f>
        <v>$AC$998</v>
      </c>
      <c r="M998" s="98" t="str">
        <f ca="1">IF(G997&gt;=10,(MID(L998,1,1)&amp;MID(L998,2,4)+1),CELL("address",AD998))</f>
        <v>$AD$998</v>
      </c>
      <c r="N998" s="98" t="str">
        <f ca="1">IF(G997&gt;=11,(MID(M998,1,1)&amp;MID(M998,2,4)+1),CELL("address",AE998))</f>
        <v>$AE$998</v>
      </c>
      <c r="O998" s="98" t="str">
        <f ca="1">IF(G997&gt;=12,(MID(N998,1,1)&amp;MID(N998,2,4)+1),CELL("address",AF998))</f>
        <v>$AF$998</v>
      </c>
    </row>
    <row r="999" spans="1:18" ht="15" customHeight="1">
      <c r="A999" s="260" t="s">
        <v>5</v>
      </c>
      <c r="B999" s="260"/>
      <c r="C999" s="64" t="s">
        <v>17</v>
      </c>
      <c r="D999" s="65" t="s">
        <v>18</v>
      </c>
      <c r="E999" s="68" t="s">
        <v>7</v>
      </c>
      <c r="G999" s="174" t="str">
        <f>CONCATENATE("Misc. Healthy parts/ Non Ferrous  Scrap, Lying at ",C1000,". Quantity in MT - ")</f>
        <v>Misc. Healthy parts/ Non Ferrous  Scrap, Lying at OL store Patran. Quantity in MT - </v>
      </c>
      <c r="H999" s="268" t="str">
        <f ca="1">CONCATENATE(G999,G1000,(INDIRECT(I1000)),(INDIRECT(J1000)),(INDIRECT(K1000)),(INDIRECT(L1000)),(INDIRECT(M1000)),(INDIRECT(N1000)),(INDIRECT(O1000)),(INDIRECT(P1000)),(INDIRECT(Q1000)),(INDIRECT(R1000)),".")</f>
        <v>Misc. Healthy parts/ Non Ferrous  Scrap, Lying at OL store Patran. Quantity in MT - Misc. Copper scrap - 0.092, .</v>
      </c>
      <c r="I999" s="98" t="str">
        <f aca="true" ca="1" t="array" ref="I999">CELL("address",INDEX(G999:G1022,MATCH(TRUE,ISBLANK(G999:G1022),0)))</f>
        <v>$G$1001</v>
      </c>
      <c r="J999" s="98">
        <f aca="true" t="array" ref="J999">MATCH(TRUE,ISBLANK(G999:G1022),0)</f>
        <v>3</v>
      </c>
      <c r="K999" s="98">
        <f>J999-3</f>
        <v>0</v>
      </c>
      <c r="L999" s="98"/>
      <c r="M999" s="98"/>
      <c r="N999" s="98"/>
      <c r="O999" s="98"/>
      <c r="P999" s="98"/>
      <c r="Q999" s="98"/>
      <c r="R999" s="98"/>
    </row>
    <row r="1000" spans="1:18" ht="15" customHeight="1">
      <c r="A1000" s="260" t="s">
        <v>40</v>
      </c>
      <c r="B1000" s="260"/>
      <c r="C1000" s="221" t="s">
        <v>101</v>
      </c>
      <c r="D1000" s="40" t="s">
        <v>45</v>
      </c>
      <c r="E1000" s="69">
        <v>0.092</v>
      </c>
      <c r="G1000" s="102" t="str">
        <f>CONCATENATE(D1000," - ",E1000,", ")</f>
        <v>Misc. Copper scrap - 0.092, </v>
      </c>
      <c r="H1000" s="268"/>
      <c r="I1000" s="98" t="str">
        <f ca="1">IF(J999&gt;=3,(MID(I999,2,1)&amp;MID(I999,4,4)-K999),CELL("address",Z1000))</f>
        <v>G1001</v>
      </c>
      <c r="J1000" s="98" t="str">
        <f ca="1">IF(J999&gt;=4,(MID(I1000,1,1)&amp;MID(I1000,2,4)+1),CELL("address",AA1000))</f>
        <v>$AA$1000</v>
      </c>
      <c r="K1000" s="98" t="str">
        <f ca="1">IF(J999&gt;=5,(MID(J1000,1,1)&amp;MID(J1000,2,4)+1),CELL("address",AB1000))</f>
        <v>$AB$1000</v>
      </c>
      <c r="L1000" s="98" t="str">
        <f ca="1">IF(J999&gt;=6,(MID(K1000,1,1)&amp;MID(K1000,2,4)+1),CELL("address",AC1000))</f>
        <v>$AC$1000</v>
      </c>
      <c r="M1000" s="98" t="str">
        <f ca="1">IF(J999&gt;=7,(MID(L1000,1,1)&amp;MID(L1000,2,4)+1),CELL("address",AD1000))</f>
        <v>$AD$1000</v>
      </c>
      <c r="N1000" s="98" t="str">
        <f ca="1">IF(J999&gt;=8,(MID(M1000,1,1)&amp;MID(M1000,2,4)+1),CELL("address",AE1000))</f>
        <v>$AE$1000</v>
      </c>
      <c r="O1000" s="98" t="str">
        <f ca="1">IF(J999&gt;=9,(MID(N1000,1,1)&amp;MID(N1000,2,4)+1),CELL("address",AF1000))</f>
        <v>$AF$1000</v>
      </c>
      <c r="P1000" s="98" t="str">
        <f ca="1">IF(J999&gt;=10,(MID(O1000,1,1)&amp;MID(O1000,2,4)+1),CELL("address",AG1000))</f>
        <v>$AG$1000</v>
      </c>
      <c r="Q1000" s="98" t="str">
        <f ca="1">IF(J999&gt;=11,(MID(P1000,1,1)&amp;MID(P1000,2,4)+1),CELL("address",AH1000))</f>
        <v>$AH$1000</v>
      </c>
      <c r="R1000" s="98" t="str">
        <f ca="1">IF(J999&gt;=12,(MID(Q1000,1,1)&amp;MID(Q1000,2,4)+1),CELL("address",AI1000))</f>
        <v>$AI$1000</v>
      </c>
    </row>
    <row r="1001" spans="1:8" ht="15" customHeight="1">
      <c r="A1001" s="50"/>
      <c r="B1001" s="59"/>
      <c r="C1001" s="225"/>
      <c r="D1001" s="40"/>
      <c r="E1001" s="46"/>
      <c r="H1001" s="1"/>
    </row>
    <row r="1002" spans="1:8" ht="15" customHeight="1">
      <c r="A1002" s="50"/>
      <c r="B1002" s="59"/>
      <c r="C1002" s="225"/>
      <c r="D1002" s="45"/>
      <c r="E1002" s="67">
        <f>SUM(E1004:E1008)</f>
        <v>1.022</v>
      </c>
      <c r="H1002" s="1"/>
    </row>
    <row r="1003" spans="1:18" ht="15" customHeight="1">
      <c r="A1003" s="260" t="s">
        <v>5</v>
      </c>
      <c r="B1003" s="260"/>
      <c r="C1003" s="64" t="s">
        <v>17</v>
      </c>
      <c r="D1003" s="65" t="s">
        <v>18</v>
      </c>
      <c r="E1003" s="64" t="s">
        <v>7</v>
      </c>
      <c r="G1003" s="174" t="str">
        <f>CONCATENATE("Misc. Healthy parts/ Non Ferrous  Scrap, Lying at ",C1004,". Quantity in MT - ")</f>
        <v>Misc. Healthy parts/ Non Ferrous  Scrap, Lying at CS Patiala. Quantity in MT - </v>
      </c>
      <c r="H1003" s="268" t="str">
        <f ca="1">CONCATENATE(G1003,G1004,(INDIRECT(I1004)),(INDIRECT(J1004)),(INDIRECT(K1004)),(INDIRECT(L1004)),(INDIRECT(M1004)),(INDIRECT(N1004)),(INDIRECT(O1004)),(INDIRECT(P1004)),(INDIRECT(Q1004)),(INDIRECT(R1004)),".")</f>
        <v>Misc. Healthy parts/ Non Ferrous  Scrap, Lying at CS Patiala. Quantity in MT - Misc. Alumn. Scrap - 0.101, Misc. copper scrap - 0.218, Burnt copper scrap - 0.022, Brass scrap - 0.653, All Alumn. Conductor Scrap - 0.028, .</v>
      </c>
      <c r="I1003" s="98" t="str">
        <f aca="true" ca="1" t="array" ref="I1003">CELL("address",INDEX(G1003:G1026,MATCH(TRUE,ISBLANK(G1003:G1026),0)))</f>
        <v>$G$1009</v>
      </c>
      <c r="J1003" s="98">
        <f aca="true" t="array" ref="J1003">MATCH(TRUE,ISBLANK(G1003:G1026),0)</f>
        <v>7</v>
      </c>
      <c r="K1003" s="98">
        <f>J1003-3</f>
        <v>4</v>
      </c>
      <c r="L1003" s="98"/>
      <c r="M1003" s="98"/>
      <c r="N1003" s="98"/>
      <c r="O1003" s="98"/>
      <c r="P1003" s="98"/>
      <c r="Q1003" s="98"/>
      <c r="R1003" s="98"/>
    </row>
    <row r="1004" spans="1:18" ht="15" customHeight="1">
      <c r="A1004" s="260" t="s">
        <v>80</v>
      </c>
      <c r="B1004" s="260"/>
      <c r="C1004" s="261" t="s">
        <v>52</v>
      </c>
      <c r="D1004" s="60" t="s">
        <v>31</v>
      </c>
      <c r="E1004" s="47">
        <v>0.101</v>
      </c>
      <c r="F1004" s="98"/>
      <c r="G1004" s="102" t="str">
        <f>CONCATENATE(D1004," - ",E1004,", ")</f>
        <v>Misc. Alumn. Scrap - 0.101, </v>
      </c>
      <c r="H1004" s="268"/>
      <c r="I1004" s="98" t="str">
        <f ca="1">IF(J1003&gt;=3,(MID(I1003,2,1)&amp;MID(I1003,4,4)-K1003),CELL("address",Z1004))</f>
        <v>G1005</v>
      </c>
      <c r="J1004" s="98" t="str">
        <f ca="1">IF(J1003&gt;=4,(MID(I1004,1,1)&amp;MID(I1004,2,4)+1),CELL("address",AA1004))</f>
        <v>G1006</v>
      </c>
      <c r="K1004" s="98" t="str">
        <f ca="1">IF(J1003&gt;=5,(MID(J1004,1,1)&amp;MID(J1004,2,4)+1),CELL("address",AB1004))</f>
        <v>G1007</v>
      </c>
      <c r="L1004" s="98" t="str">
        <f ca="1">IF(J1003&gt;=6,(MID(K1004,1,1)&amp;MID(K1004,2,4)+1),CELL("address",AC1004))</f>
        <v>G1008</v>
      </c>
      <c r="M1004" s="98" t="str">
        <f ca="1">IF(J1003&gt;=7,(MID(L1004,1,1)&amp;MID(L1004,2,4)+1),CELL("address",AD1004))</f>
        <v>G1009</v>
      </c>
      <c r="N1004" s="98" t="str">
        <f ca="1">IF(J1003&gt;=8,(MID(M1004,1,1)&amp;MID(M1004,2,4)+1),CELL("address",AE1004))</f>
        <v>$AE$1004</v>
      </c>
      <c r="O1004" s="98" t="str">
        <f ca="1">IF(J1003&gt;=9,(MID(N1004,1,1)&amp;MID(N1004,2,4)+1),CELL("address",AF1004))</f>
        <v>$AF$1004</v>
      </c>
      <c r="P1004" s="98" t="str">
        <f ca="1">IF(J1003&gt;=10,(MID(O1004,1,1)&amp;MID(O1004,2,4)+1),CELL("address",AG1004))</f>
        <v>$AG$1004</v>
      </c>
      <c r="Q1004" s="98" t="str">
        <f ca="1">IF(J1003&gt;=11,(MID(P1004,1,1)&amp;MID(P1004,2,4)+1),CELL("address",AH1004))</f>
        <v>$AH$1004</v>
      </c>
      <c r="R1004" s="98" t="str">
        <f ca="1">IF(J1003&gt;=12,(MID(Q1004,1,1)&amp;MID(Q1004,2,4)+1),CELL("address",AI1004))</f>
        <v>$AI$1004</v>
      </c>
    </row>
    <row r="1005" spans="1:15" ht="15" customHeight="1">
      <c r="A1005" s="260"/>
      <c r="B1005" s="260"/>
      <c r="C1005" s="261"/>
      <c r="D1005" s="60" t="s">
        <v>111</v>
      </c>
      <c r="E1005" s="64">
        <v>0.218</v>
      </c>
      <c r="F1005" s="98"/>
      <c r="G1005" s="102" t="str">
        <f>CONCATENATE(D1005," - ",E1005,", ")</f>
        <v>Misc. copper scrap - 0.218, </v>
      </c>
      <c r="H1005" s="98"/>
      <c r="I1005" s="98" t="e">
        <f ca="1">IF(G1004&gt;=6,(MID(H1005,1,1)&amp;MID(H1005,2,4)+1),CELL("address",Z1005))</f>
        <v>#VALUE!</v>
      </c>
      <c r="J1005" s="98" t="e">
        <f ca="1">IF(G1004&gt;=7,(MID(I1005,1,1)&amp;MID(I1005,2,4)+1),CELL("address",AA1005))</f>
        <v>#VALUE!</v>
      </c>
      <c r="K1005" s="98" t="e">
        <f ca="1">IF(G1004&gt;=8,(MID(J1005,1,1)&amp;MID(J1005,2,4)+1),CELL("address",AB1005))</f>
        <v>#VALUE!</v>
      </c>
      <c r="L1005" s="98" t="e">
        <f ca="1">IF(G1004&gt;=9,(MID(K1005,1,1)&amp;MID(K1005,2,4)+1),CELL("address",AC1005))</f>
        <v>#VALUE!</v>
      </c>
      <c r="M1005" s="98" t="e">
        <f ca="1">IF(G1004&gt;=10,(MID(L1005,1,1)&amp;MID(L1005,2,4)+1),CELL("address",AD1005))</f>
        <v>#VALUE!</v>
      </c>
      <c r="N1005" s="98" t="e">
        <f ca="1">IF(G1004&gt;=11,(MID(M1005,1,1)&amp;MID(M1005,2,4)+1),CELL("address",AE1005))</f>
        <v>#VALUE!</v>
      </c>
      <c r="O1005" s="98" t="e">
        <f ca="1">IF(G1004&gt;=12,(MID(N1005,1,1)&amp;MID(N1005,2,4)+1),CELL("address",AF1005))</f>
        <v>#VALUE!</v>
      </c>
    </row>
    <row r="1006" spans="1:8" ht="15" customHeight="1">
      <c r="A1006" s="260"/>
      <c r="B1006" s="260"/>
      <c r="C1006" s="261"/>
      <c r="D1006" s="60" t="s">
        <v>47</v>
      </c>
      <c r="E1006" s="64">
        <v>0.022</v>
      </c>
      <c r="G1006" s="102" t="str">
        <f>CONCATENATE(D1006," - ",E1006,", ")</f>
        <v>Burnt copper scrap - 0.022, </v>
      </c>
      <c r="H1006" s="1"/>
    </row>
    <row r="1007" spans="1:8" ht="15" customHeight="1">
      <c r="A1007" s="260"/>
      <c r="B1007" s="260"/>
      <c r="C1007" s="261"/>
      <c r="D1007" s="40" t="s">
        <v>23</v>
      </c>
      <c r="E1007" s="64">
        <v>0.653</v>
      </c>
      <c r="G1007" s="102" t="str">
        <f>CONCATENATE(D1007," - ",E1007,", ")</f>
        <v>Brass scrap - 0.653, </v>
      </c>
      <c r="H1007" s="1"/>
    </row>
    <row r="1008" spans="1:8" ht="15" customHeight="1">
      <c r="A1008" s="260"/>
      <c r="B1008" s="260"/>
      <c r="C1008" s="261"/>
      <c r="D1008" s="45" t="s">
        <v>32</v>
      </c>
      <c r="E1008" s="64">
        <v>0.028</v>
      </c>
      <c r="G1008" s="211" t="str">
        <f>CONCATENATE(D1008," - ",E1008,", ")</f>
        <v>All Alumn. Conductor Scrap - 0.028, </v>
      </c>
      <c r="H1008" s="1"/>
    </row>
    <row r="1009" spans="1:8" ht="15" customHeight="1">
      <c r="A1009" s="213"/>
      <c r="B1009" s="214"/>
      <c r="C1009" s="212"/>
      <c r="D1009" s="60"/>
      <c r="E1009" s="64"/>
      <c r="H1009" s="1"/>
    </row>
    <row r="1010" spans="1:8" ht="15" customHeight="1">
      <c r="A1010" s="265"/>
      <c r="B1010" s="266"/>
      <c r="C1010" s="66"/>
      <c r="D1010" s="66"/>
      <c r="E1010" s="67">
        <f>SUM(E1012:E1019)</f>
        <v>4.923</v>
      </c>
      <c r="H1010" s="1"/>
    </row>
    <row r="1011" spans="1:18" ht="15" customHeight="1">
      <c r="A1011" s="275" t="s">
        <v>5</v>
      </c>
      <c r="B1011" s="276"/>
      <c r="C1011" s="64" t="s">
        <v>17</v>
      </c>
      <c r="D1011" s="65" t="s">
        <v>18</v>
      </c>
      <c r="E1011" s="68" t="s">
        <v>7</v>
      </c>
      <c r="G1011" s="174" t="str">
        <f>CONCATENATE("Misc. Healthy parts/ Non Ferrous  Scrap, Lying at ",C1012,". Quantity in MT - ")</f>
        <v>Misc. Healthy parts/ Non Ferrous  Scrap, Lying at CS Kotkapura. Quantity in MT - </v>
      </c>
      <c r="H1011" s="268" t="str">
        <f ca="1">CONCATENATE(G1011,G1012,(INDIRECT(I1012)),(INDIRECT(J1012)),(INDIRECT(K1012)),(INDIRECT(L1012)),(INDIRECT(M1012)),(INDIRECT(N1012)),(INDIRECT(O1012)),(INDIRECT(P1012)),(INDIRECT(Q1012)),(INDIRECT(R1012)),".")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1011" s="98" t="str">
        <f aca="true" ca="1" t="array" ref="I1011">CELL("address",INDEX(G1011:G1033,MATCH(TRUE,ISBLANK(G1011:G1033),0)))</f>
        <v>$G$1020</v>
      </c>
      <c r="J1011" s="98">
        <f aca="true" t="array" ref="J1011">MATCH(TRUE,ISBLANK(G1011:G1033),0)</f>
        <v>10</v>
      </c>
      <c r="K1011" s="98">
        <f>J1011-3</f>
        <v>7</v>
      </c>
      <c r="L1011" s="98"/>
      <c r="M1011" s="98"/>
      <c r="N1011" s="98"/>
      <c r="O1011" s="98"/>
      <c r="P1011" s="98"/>
      <c r="Q1011" s="98"/>
      <c r="R1011" s="98"/>
    </row>
    <row r="1012" spans="1:18" ht="15" customHeight="1">
      <c r="A1012" s="260" t="s">
        <v>656</v>
      </c>
      <c r="B1012" s="260"/>
      <c r="C1012" s="261" t="s">
        <v>43</v>
      </c>
      <c r="D1012" s="40" t="s">
        <v>23</v>
      </c>
      <c r="E1012" s="69">
        <v>4.046</v>
      </c>
      <c r="G1012" s="102" t="str">
        <f aca="true" t="shared" si="7" ref="G1012:G1019">CONCATENATE(D1012," - ",E1012,", ")</f>
        <v>Brass scrap - 4.046, </v>
      </c>
      <c r="H1012" s="268"/>
      <c r="I1012" s="98" t="str">
        <f ca="1">IF(J1011&gt;=3,(MID(I1011,2,1)&amp;MID(I1011,4,4)-K1011),CELL("address",Z1012))</f>
        <v>G1013</v>
      </c>
      <c r="J1012" s="98" t="str">
        <f ca="1">IF(J1011&gt;=4,(MID(I1012,1,1)&amp;MID(I1012,2,4)+1),CELL("address",AA1012))</f>
        <v>G1014</v>
      </c>
      <c r="K1012" s="98" t="str">
        <f ca="1">IF(J1011&gt;=5,(MID(J1012,1,1)&amp;MID(J1012,2,4)+1),CELL("address",AB1012))</f>
        <v>G1015</v>
      </c>
      <c r="L1012" s="98" t="str">
        <f ca="1">IF(J1011&gt;=6,(MID(K1012,1,1)&amp;MID(K1012,2,4)+1),CELL("address",AC1012))</f>
        <v>G1016</v>
      </c>
      <c r="M1012" s="98" t="str">
        <f ca="1">IF(J1011&gt;=7,(MID(L1012,1,1)&amp;MID(L1012,2,4)+1),CELL("address",AD1012))</f>
        <v>G1017</v>
      </c>
      <c r="N1012" s="98" t="str">
        <f ca="1">IF(J1011&gt;=8,(MID(M1012,1,1)&amp;MID(M1012,2,4)+1),CELL("address",AE1012))</f>
        <v>G1018</v>
      </c>
      <c r="O1012" s="98" t="str">
        <f ca="1">IF(J1011&gt;=9,(MID(N1012,1,1)&amp;MID(N1012,2,4)+1),CELL("address",AF1012))</f>
        <v>G1019</v>
      </c>
      <c r="P1012" s="98" t="str">
        <f ca="1">IF(J1011&gt;=10,(MID(O1012,1,1)&amp;MID(O1012,2,4)+1),CELL("address",AG1012))</f>
        <v>G1020</v>
      </c>
      <c r="Q1012" s="98" t="str">
        <f ca="1">IF(J1011&gt;=11,(MID(P1012,1,1)&amp;MID(P1012,2,4)+1),CELL("address",AH1012))</f>
        <v>$AH$1012</v>
      </c>
      <c r="R1012" s="98" t="str">
        <f ca="1">IF(J1011&gt;=12,(MID(Q1012,1,1)&amp;MID(Q1012,2,4)+1),CELL("address",AI1012))</f>
        <v>$AI$1012</v>
      </c>
    </row>
    <row r="1013" spans="1:8" ht="15" customHeight="1">
      <c r="A1013" s="260"/>
      <c r="B1013" s="260"/>
      <c r="C1013" s="261"/>
      <c r="D1013" s="40" t="s">
        <v>45</v>
      </c>
      <c r="E1013" s="69">
        <v>0.066</v>
      </c>
      <c r="G1013" s="102" t="str">
        <f t="shared" si="7"/>
        <v>Misc. Copper scrap - 0.066, </v>
      </c>
      <c r="H1013" s="1"/>
    </row>
    <row r="1014" spans="1:8" ht="15" customHeight="1">
      <c r="A1014" s="260"/>
      <c r="B1014" s="260"/>
      <c r="C1014" s="261"/>
      <c r="D1014" s="39" t="s">
        <v>37</v>
      </c>
      <c r="E1014" s="69">
        <v>0.325</v>
      </c>
      <c r="G1014" s="102" t="str">
        <f t="shared" si="7"/>
        <v>Burnt Cu scrap - 0.325, </v>
      </c>
      <c r="H1014" s="1"/>
    </row>
    <row r="1015" spans="1:8" ht="15" customHeight="1">
      <c r="A1015" s="260"/>
      <c r="B1015" s="260"/>
      <c r="C1015" s="261"/>
      <c r="D1015" s="40" t="s">
        <v>24</v>
      </c>
      <c r="E1015" s="69">
        <v>0.205</v>
      </c>
      <c r="G1015" s="102" t="str">
        <f t="shared" si="7"/>
        <v>Misc. Aluminium scrap - 0.205, </v>
      </c>
      <c r="H1015" s="1"/>
    </row>
    <row r="1016" spans="1:15" ht="15" customHeight="1">
      <c r="A1016" s="260"/>
      <c r="B1016" s="260"/>
      <c r="C1016" s="261"/>
      <c r="D1016" s="39" t="s">
        <v>41</v>
      </c>
      <c r="E1016" s="69">
        <v>0.055</v>
      </c>
      <c r="F1016" s="98"/>
      <c r="G1016" s="102" t="str">
        <f t="shared" si="7"/>
        <v>Burnt Aluminium scrap - 0.055, </v>
      </c>
      <c r="H1016" s="98"/>
      <c r="I1016" s="98"/>
      <c r="J1016" s="98"/>
      <c r="K1016" s="98"/>
      <c r="L1016" s="98"/>
      <c r="M1016" s="98"/>
      <c r="N1016" s="98"/>
      <c r="O1016" s="98"/>
    </row>
    <row r="1017" spans="1:15" ht="15" customHeight="1">
      <c r="A1017" s="260"/>
      <c r="B1017" s="260"/>
      <c r="C1017" s="261"/>
      <c r="D1017" s="39" t="s">
        <v>386</v>
      </c>
      <c r="E1017" s="69">
        <v>0.09</v>
      </c>
      <c r="F1017" s="98"/>
      <c r="G1017" s="102" t="str">
        <f t="shared" si="7"/>
        <v>All Alum scrap - 0.09, </v>
      </c>
      <c r="H1017" s="98"/>
      <c r="I1017" s="98" t="e">
        <f ca="1">IF(G1016&gt;=6,(MID(H1017,1,1)&amp;MID(H1017,2,4)+1),CELL("address",Z1017))</f>
        <v>#VALUE!</v>
      </c>
      <c r="J1017" s="98" t="e">
        <f ca="1">IF(G1016&gt;=7,(MID(I1017,1,1)&amp;MID(I1017,2,4)+1),CELL("address",AA1017))</f>
        <v>#VALUE!</v>
      </c>
      <c r="K1017" s="98" t="e">
        <f ca="1">IF(G1016&gt;=8,(MID(J1017,1,1)&amp;MID(J1017,2,4)+1),CELL("address",AB1017))</f>
        <v>#VALUE!</v>
      </c>
      <c r="L1017" s="98" t="e">
        <f ca="1">IF(G1016&gt;=9,(MID(K1017,1,1)&amp;MID(K1017,2,4)+1),CELL("address",AC1017))</f>
        <v>#VALUE!</v>
      </c>
      <c r="M1017" s="98" t="e">
        <f ca="1">IF(G1016&gt;=10,(MID(L1017,1,1)&amp;MID(L1017,2,4)+1),CELL("address",AD1017))</f>
        <v>#VALUE!</v>
      </c>
      <c r="N1017" s="98" t="e">
        <f ca="1">IF(G1016&gt;=11,(MID(M1017,1,1)&amp;MID(M1017,2,4)+1),CELL("address",AE1017))</f>
        <v>#VALUE!</v>
      </c>
      <c r="O1017" s="98" t="e">
        <f ca="1">IF(G1016&gt;=12,(MID(N1017,1,1)&amp;MID(N1017,2,4)+1),CELL("address",AF1017))</f>
        <v>#VALUE!</v>
      </c>
    </row>
    <row r="1018" spans="1:8" ht="15" customHeight="1">
      <c r="A1018" s="260"/>
      <c r="B1018" s="260"/>
      <c r="C1018" s="261"/>
      <c r="D1018" s="39" t="s">
        <v>387</v>
      </c>
      <c r="E1018" s="69">
        <v>0.096</v>
      </c>
      <c r="G1018" s="102" t="str">
        <f t="shared" si="7"/>
        <v>Alu scrap of damaged T/F accessories - 0.096, </v>
      </c>
      <c r="H1018" s="1"/>
    </row>
    <row r="1019" spans="1:8" ht="15" customHeight="1">
      <c r="A1019" s="260"/>
      <c r="B1019" s="260"/>
      <c r="C1019" s="261"/>
      <c r="D1019" s="39" t="s">
        <v>388</v>
      </c>
      <c r="E1019" s="69">
        <v>0.04</v>
      </c>
      <c r="G1019" s="102" t="str">
        <f t="shared" si="7"/>
        <v>Copper scrap - 0.04, </v>
      </c>
      <c r="H1019" s="1"/>
    </row>
    <row r="1020" spans="1:8" ht="15" customHeight="1">
      <c r="A1020" s="50"/>
      <c r="B1020" s="59"/>
      <c r="C1020" s="225"/>
      <c r="D1020" s="39"/>
      <c r="E1020" s="69"/>
      <c r="H1020" s="1"/>
    </row>
    <row r="1021" spans="1:15" ht="15" customHeight="1">
      <c r="A1021" s="50"/>
      <c r="B1021" s="59"/>
      <c r="C1021" s="225"/>
      <c r="D1021" s="45"/>
      <c r="E1021" s="67">
        <f>SUM(E1023:E1024)</f>
        <v>0.628</v>
      </c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</row>
    <row r="1022" spans="1:18" ht="15" customHeight="1">
      <c r="A1022" s="260" t="s">
        <v>5</v>
      </c>
      <c r="B1022" s="260"/>
      <c r="C1022" s="64" t="s">
        <v>17</v>
      </c>
      <c r="D1022" s="65" t="s">
        <v>18</v>
      </c>
      <c r="E1022" s="64" t="s">
        <v>7</v>
      </c>
      <c r="F1022" s="98"/>
      <c r="G1022" s="174" t="str">
        <f>CONCATENATE("Misc. Healthy parts/ Non Ferrous  Scrap, Lying at ",C1023,". Quantity in MT - ")</f>
        <v>Misc. Healthy parts/ Non Ferrous  Scrap, Lying at OL store Malerkotla. Quantity in MT - </v>
      </c>
      <c r="H1022" s="268" t="str">
        <f ca="1">CONCATENATE(G1022,G1023,(INDIRECT(I1023)),(INDIRECT(J1023)),(INDIRECT(K1023)),(INDIRECT(L1023)),(INDIRECT(M1023)),(INDIRECT(N1023)),(INDIRECT(O1023)),(INDIRECT(P1023)),(INDIRECT(Q1023)),(INDIRECT(R1023)),".")</f>
        <v>Misc. Healthy parts/ Non Ferrous  Scrap, Lying at OL store Malerkotla. Quantity in MT - Misc. Alumn. Scrap - 0.028, Misc. copper scrap - 0.6, .</v>
      </c>
      <c r="I1022" s="98" t="str">
        <f aca="true" ca="1" t="array" ref="I1022">CELL("address",INDEX(G1022:G1044,MATCH(TRUE,ISBLANK(G1022:G1044),0)))</f>
        <v>$G$1025</v>
      </c>
      <c r="J1022" s="98">
        <f aca="true" t="array" ref="J1022">MATCH(TRUE,ISBLANK(G1022:G1044),0)</f>
        <v>4</v>
      </c>
      <c r="K1022" s="98">
        <f>J1022-3</f>
        <v>1</v>
      </c>
      <c r="L1022" s="98"/>
      <c r="M1022" s="98"/>
      <c r="N1022" s="98"/>
      <c r="O1022" s="98"/>
      <c r="P1022" s="98"/>
      <c r="Q1022" s="98"/>
      <c r="R1022" s="98"/>
    </row>
    <row r="1023" spans="1:18" ht="15" customHeight="1">
      <c r="A1023" s="275" t="s">
        <v>44</v>
      </c>
      <c r="B1023" s="276"/>
      <c r="C1023" s="277" t="s">
        <v>116</v>
      </c>
      <c r="D1023" s="60" t="s">
        <v>31</v>
      </c>
      <c r="E1023" s="47">
        <v>0.028</v>
      </c>
      <c r="G1023" s="102" t="str">
        <f>CONCATENATE(D1023," - ",E1023,", ")</f>
        <v>Misc. Alumn. Scrap - 0.028, </v>
      </c>
      <c r="H1023" s="268"/>
      <c r="I1023" s="98" t="str">
        <f ca="1">IF(J1022&gt;=3,(MID(I1022,2,1)&amp;MID(I1022,4,4)-K1022),CELL("address",Z1023))</f>
        <v>G1024</v>
      </c>
      <c r="J1023" s="98" t="str">
        <f ca="1">IF(J1022&gt;=4,(MID(I1023,1,1)&amp;MID(I1023,2,4)+1),CELL("address",AA1023))</f>
        <v>G1025</v>
      </c>
      <c r="K1023" s="98" t="str">
        <f ca="1">IF(J1022&gt;=5,(MID(J1023,1,1)&amp;MID(J1023,2,4)+1),CELL("address",AB1023))</f>
        <v>$AB$1023</v>
      </c>
      <c r="L1023" s="98" t="str">
        <f ca="1">IF(J1022&gt;=6,(MID(K1023,1,1)&amp;MID(K1023,2,4)+1),CELL("address",AC1023))</f>
        <v>$AC$1023</v>
      </c>
      <c r="M1023" s="98" t="str">
        <f ca="1">IF(J1022&gt;=7,(MID(L1023,1,1)&amp;MID(L1023,2,4)+1),CELL("address",AD1023))</f>
        <v>$AD$1023</v>
      </c>
      <c r="N1023" s="98" t="str">
        <f ca="1">IF(J1022&gt;=8,(MID(M1023,1,1)&amp;MID(M1023,2,4)+1),CELL("address",AE1023))</f>
        <v>$AE$1023</v>
      </c>
      <c r="O1023" s="98" t="str">
        <f ca="1">IF(J1022&gt;=9,(MID(N1023,1,1)&amp;MID(N1023,2,4)+1),CELL("address",AF1023))</f>
        <v>$AF$1023</v>
      </c>
      <c r="P1023" s="98" t="str">
        <f ca="1">IF(J1022&gt;=10,(MID(O1023,1,1)&amp;MID(O1023,2,4)+1),CELL("address",AG1023))</f>
        <v>$AG$1023</v>
      </c>
      <c r="Q1023" s="98" t="str">
        <f ca="1">IF(J1022&gt;=11,(MID(P1023,1,1)&amp;MID(P1023,2,4)+1),CELL("address",AH1023))</f>
        <v>$AH$1023</v>
      </c>
      <c r="R1023" s="98" t="str">
        <f ca="1">IF(J1022&gt;=12,(MID(Q1023,1,1)&amp;MID(Q1023,2,4)+1),CELL("address",AI1023))</f>
        <v>$AI$1023</v>
      </c>
    </row>
    <row r="1024" spans="1:8" ht="15" customHeight="1">
      <c r="A1024" s="283"/>
      <c r="B1024" s="284"/>
      <c r="C1024" s="287"/>
      <c r="D1024" s="60" t="s">
        <v>111</v>
      </c>
      <c r="E1024" s="64">
        <v>0.6</v>
      </c>
      <c r="G1024" s="102" t="str">
        <f>CONCATENATE(D1024," - ",E1024,", ")</f>
        <v>Misc. copper scrap - 0.6, </v>
      </c>
      <c r="H1024" s="1"/>
    </row>
    <row r="1025" spans="1:8" ht="15" customHeight="1">
      <c r="A1025" s="262"/>
      <c r="B1025" s="263"/>
      <c r="C1025" s="221"/>
      <c r="D1025" s="60"/>
      <c r="E1025" s="64"/>
      <c r="H1025" s="1"/>
    </row>
    <row r="1026" spans="1:15" ht="15" customHeight="1">
      <c r="A1026" s="265"/>
      <c r="B1026" s="266"/>
      <c r="C1026" s="66"/>
      <c r="D1026" s="66"/>
      <c r="E1026" s="67">
        <f>SUM(E1028:E1029)</f>
        <v>0.067</v>
      </c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</row>
    <row r="1027" spans="1:18" ht="15" customHeight="1">
      <c r="A1027" s="260" t="s">
        <v>5</v>
      </c>
      <c r="B1027" s="260"/>
      <c r="C1027" s="64" t="s">
        <v>17</v>
      </c>
      <c r="D1027" s="65" t="s">
        <v>18</v>
      </c>
      <c r="E1027" s="64" t="s">
        <v>7</v>
      </c>
      <c r="F1027" s="98"/>
      <c r="G1027" s="174" t="str">
        <f>CONCATENATE("Misc. Healthy parts/ Non Ferrous  Scrap, Lying at ",C1028,". Quantity in MT - ")</f>
        <v>Misc. Healthy parts/ Non Ferrous  Scrap, Lying at TRY Malerkotla. Quantity in MT - </v>
      </c>
      <c r="H1027" s="268" t="str">
        <f ca="1">CONCATENATE(G1027,G1028,(INDIRECT(I1028)),(INDIRECT(J1028)),(INDIRECT(K1028)),(INDIRECT(L1028)),(INDIRECT(M1028)),(INDIRECT(N1028)),(INDIRECT(O1028)),(INDIRECT(P1028)),(INDIRECT(Q1028)),(INDIRECT(R1028)),".")</f>
        <v>Misc. Healthy parts/ Non Ferrous  Scrap, Lying at TRY Malerkotla. Quantity in MT - Brass scrap - 0.062, Misc. Alumn. Scrap - 0.005, .</v>
      </c>
      <c r="I1027" s="98" t="str">
        <f aca="true" ca="1" t="array" ref="I1027">CELL("address",INDEX(G1027:G1049,MATCH(TRUE,ISBLANK(G1027:G1049),0)))</f>
        <v>$G$1030</v>
      </c>
      <c r="J1027" s="98">
        <f aca="true" t="array" ref="J1027">MATCH(TRUE,ISBLANK(G1027:G1049),0)</f>
        <v>4</v>
      </c>
      <c r="K1027" s="98">
        <f>J1027-3</f>
        <v>1</v>
      </c>
      <c r="L1027" s="98"/>
      <c r="M1027" s="98"/>
      <c r="N1027" s="98"/>
      <c r="O1027" s="98"/>
      <c r="P1027" s="98"/>
      <c r="Q1027" s="98"/>
      <c r="R1027" s="98"/>
    </row>
    <row r="1028" spans="1:18" ht="15" customHeight="1">
      <c r="A1028" s="260" t="s">
        <v>53</v>
      </c>
      <c r="B1028" s="260"/>
      <c r="C1028" s="261" t="s">
        <v>28</v>
      </c>
      <c r="D1028" s="45" t="s">
        <v>23</v>
      </c>
      <c r="E1028" s="45">
        <v>0.062</v>
      </c>
      <c r="G1028" s="102" t="str">
        <f>CONCATENATE(D1028," - ",E1028,", ")</f>
        <v>Brass scrap - 0.062, </v>
      </c>
      <c r="H1028" s="268"/>
      <c r="I1028" s="98" t="str">
        <f ca="1">IF(J1027&gt;=3,(MID(I1027,2,1)&amp;MID(I1027,4,4)-K1027),CELL("address",Z1028))</f>
        <v>G1029</v>
      </c>
      <c r="J1028" s="98" t="str">
        <f ca="1">IF(J1027&gt;=4,(MID(I1028,1,1)&amp;MID(I1028,2,4)+1),CELL("address",AA1028))</f>
        <v>G1030</v>
      </c>
      <c r="K1028" s="98" t="str">
        <f ca="1">IF(J1027&gt;=5,(MID(J1028,1,1)&amp;MID(J1028,2,4)+1),CELL("address",AB1028))</f>
        <v>$AB$1028</v>
      </c>
      <c r="L1028" s="98" t="str">
        <f ca="1">IF(J1027&gt;=6,(MID(K1028,1,1)&amp;MID(K1028,2,4)+1),CELL("address",AC1028))</f>
        <v>$AC$1028</v>
      </c>
      <c r="M1028" s="98" t="str">
        <f ca="1">IF(J1027&gt;=7,(MID(L1028,1,1)&amp;MID(L1028,2,4)+1),CELL("address",AD1028))</f>
        <v>$AD$1028</v>
      </c>
      <c r="N1028" s="98" t="str">
        <f ca="1">IF(J1027&gt;=8,(MID(M1028,1,1)&amp;MID(M1028,2,4)+1),CELL("address",AE1028))</f>
        <v>$AE$1028</v>
      </c>
      <c r="O1028" s="98" t="str">
        <f ca="1">IF(J1027&gt;=9,(MID(N1028,1,1)&amp;MID(N1028,2,4)+1),CELL("address",AF1028))</f>
        <v>$AF$1028</v>
      </c>
      <c r="P1028" s="98" t="str">
        <f ca="1">IF(J1027&gt;=10,(MID(O1028,1,1)&amp;MID(O1028,2,4)+1),CELL("address",AG1028))</f>
        <v>$AG$1028</v>
      </c>
      <c r="Q1028" s="98" t="str">
        <f ca="1">IF(J1027&gt;=11,(MID(P1028,1,1)&amp;MID(P1028,2,4)+1),CELL("address",AH1028))</f>
        <v>$AH$1028</v>
      </c>
      <c r="R1028" s="98" t="str">
        <f ca="1">IF(J1027&gt;=12,(MID(Q1028,1,1)&amp;MID(Q1028,2,4)+1),CELL("address",AI1028))</f>
        <v>$AI$1028</v>
      </c>
    </row>
    <row r="1029" spans="1:8" ht="15" customHeight="1">
      <c r="A1029" s="260"/>
      <c r="B1029" s="260"/>
      <c r="C1029" s="261"/>
      <c r="D1029" s="45" t="s">
        <v>31</v>
      </c>
      <c r="E1029" s="64">
        <v>0.005</v>
      </c>
      <c r="G1029" s="102" t="str">
        <f>CONCATENATE(D1029," - ",E1029,", ")</f>
        <v>Misc. Alumn. Scrap - 0.005, </v>
      </c>
      <c r="H1029" s="1"/>
    </row>
    <row r="1030" spans="1:8" ht="15" customHeight="1">
      <c r="A1030" s="262"/>
      <c r="B1030" s="263"/>
      <c r="C1030" s="221"/>
      <c r="D1030" s="45"/>
      <c r="E1030" s="64"/>
      <c r="H1030" s="1"/>
    </row>
    <row r="1031" spans="1:8" ht="15" customHeight="1">
      <c r="A1031" s="265"/>
      <c r="B1031" s="266"/>
      <c r="C1031" s="66"/>
      <c r="D1031" s="66"/>
      <c r="E1031" s="67">
        <f>SUM(E1033:E1037)</f>
        <v>1.432</v>
      </c>
      <c r="H1031" s="1"/>
    </row>
    <row r="1032" spans="1:18" ht="15" customHeight="1">
      <c r="A1032" s="262" t="s">
        <v>5</v>
      </c>
      <c r="B1032" s="263"/>
      <c r="C1032" s="64" t="s">
        <v>17</v>
      </c>
      <c r="D1032" s="65" t="s">
        <v>18</v>
      </c>
      <c r="E1032" s="64" t="s">
        <v>7</v>
      </c>
      <c r="G1032" s="174" t="str">
        <f>CONCATENATE("Misc. Healthy parts/ Non Ferrous  Scrap, Lying at ",C1033,". Quantity in MT - ")</f>
        <v>Misc. Healthy parts/ Non Ferrous  Scrap, Lying at TRY Patran. Quantity in MT - </v>
      </c>
      <c r="H1032" s="268" t="str">
        <f ca="1">CONCATENATE(G1032,G1033,(INDIRECT(I1033)),(INDIRECT(J1033)),(INDIRECT(K1033)),(INDIRECT(L1033)),(INDIRECT(M1033)),(INDIRECT(N1033)),(INDIRECT(O1033)),(INDIRECT(P1033)),(INDIRECT(Q1033)),(INDIRECT(R1033)),".")</f>
        <v>Misc. Healthy parts/ Non Ferrous  Scrap, Lying at TRY Patran. Quantity in MT - Brass scrap - 0.642, Misc. Aluminium scrap - 0.071, Burnt Cu scrap - 0.028, Ms Nuts &amp; Bolts - 0.6, Iron scrap - 0.091, .</v>
      </c>
      <c r="I1032" s="98" t="str">
        <f aca="true" ca="1" t="array" ref="I1032">CELL("address",INDEX(G1032:G1054,MATCH(TRUE,ISBLANK(G1032:G1054),0)))</f>
        <v>$G$1038</v>
      </c>
      <c r="J1032" s="98">
        <f aca="true" t="array" ref="J1032">MATCH(TRUE,ISBLANK(G1032:G1054),0)</f>
        <v>7</v>
      </c>
      <c r="K1032" s="98">
        <f>J1032-3</f>
        <v>4</v>
      </c>
      <c r="L1032" s="98"/>
      <c r="M1032" s="98"/>
      <c r="N1032" s="98"/>
      <c r="O1032" s="98"/>
      <c r="P1032" s="98"/>
      <c r="Q1032" s="98"/>
      <c r="R1032" s="98"/>
    </row>
    <row r="1033" spans="1:18" ht="15" customHeight="1">
      <c r="A1033" s="260" t="s">
        <v>115</v>
      </c>
      <c r="B1033" s="260"/>
      <c r="C1033" s="277" t="s">
        <v>136</v>
      </c>
      <c r="D1033" s="40" t="s">
        <v>23</v>
      </c>
      <c r="E1033" s="46">
        <v>0.642</v>
      </c>
      <c r="G1033" s="102" t="str">
        <f>CONCATENATE(D1033," - ",E1033,", ")</f>
        <v>Brass scrap - 0.642, </v>
      </c>
      <c r="H1033" s="268"/>
      <c r="I1033" s="98" t="str">
        <f ca="1">IF(J1032&gt;=3,(MID(I1032,2,1)&amp;MID(I1032,4,4)-K1032),CELL("address",Z1033))</f>
        <v>G1034</v>
      </c>
      <c r="J1033" s="98" t="str">
        <f ca="1">IF(J1032&gt;=4,(MID(I1033,1,1)&amp;MID(I1033,2,4)+1),CELL("address",AA1033))</f>
        <v>G1035</v>
      </c>
      <c r="K1033" s="98" t="str">
        <f ca="1">IF(J1032&gt;=5,(MID(J1033,1,1)&amp;MID(J1033,2,4)+1),CELL("address",AB1033))</f>
        <v>G1036</v>
      </c>
      <c r="L1033" s="98" t="str">
        <f ca="1">IF(J1032&gt;=6,(MID(K1033,1,1)&amp;MID(K1033,2,4)+1),CELL("address",AC1033))</f>
        <v>G1037</v>
      </c>
      <c r="M1033" s="98" t="str">
        <f ca="1">IF(J1032&gt;=7,(MID(L1033,1,1)&amp;MID(L1033,2,4)+1),CELL("address",AD1033))</f>
        <v>G1038</v>
      </c>
      <c r="N1033" s="98" t="str">
        <f ca="1">IF(J1032&gt;=8,(MID(M1033,1,1)&amp;MID(M1033,2,4)+1),CELL("address",AE1033))</f>
        <v>$AE$1033</v>
      </c>
      <c r="O1033" s="98" t="str">
        <f ca="1">IF(J1032&gt;=9,(MID(N1033,1,1)&amp;MID(N1033,2,4)+1),CELL("address",AF1033))</f>
        <v>$AF$1033</v>
      </c>
      <c r="P1033" s="98" t="str">
        <f ca="1">IF(J1032&gt;=10,(MID(O1033,1,1)&amp;MID(O1033,2,4)+1),CELL("address",AG1033))</f>
        <v>$AG$1033</v>
      </c>
      <c r="Q1033" s="98" t="str">
        <f ca="1">IF(J1032&gt;=11,(MID(P1033,1,1)&amp;MID(P1033,2,4)+1),CELL("address",AH1033))</f>
        <v>$AH$1033</v>
      </c>
      <c r="R1033" s="98" t="str">
        <f ca="1">IF(J1032&gt;=12,(MID(Q1033,1,1)&amp;MID(Q1033,2,4)+1),CELL("address",AI1033))</f>
        <v>$AI$1033</v>
      </c>
    </row>
    <row r="1034" spans="1:15" ht="15" customHeight="1">
      <c r="A1034" s="260"/>
      <c r="B1034" s="260"/>
      <c r="C1034" s="278"/>
      <c r="D1034" s="40" t="s">
        <v>24</v>
      </c>
      <c r="E1034" s="46">
        <v>0.071</v>
      </c>
      <c r="F1034" s="98"/>
      <c r="G1034" s="102" t="str">
        <f>CONCATENATE(D1034," - ",E1034,", ")</f>
        <v>Misc. Aluminium scrap - 0.071, </v>
      </c>
      <c r="H1034" s="98"/>
      <c r="I1034" s="98"/>
      <c r="J1034" s="98"/>
      <c r="K1034" s="98"/>
      <c r="L1034" s="98"/>
      <c r="M1034" s="98"/>
      <c r="N1034" s="98"/>
      <c r="O1034" s="98"/>
    </row>
    <row r="1035" spans="1:15" ht="15" customHeight="1">
      <c r="A1035" s="260"/>
      <c r="B1035" s="260"/>
      <c r="C1035" s="278"/>
      <c r="D1035" s="40" t="s">
        <v>37</v>
      </c>
      <c r="E1035" s="46">
        <v>0.028</v>
      </c>
      <c r="F1035" s="98"/>
      <c r="G1035" s="102" t="str">
        <f>CONCATENATE(D1035," - ",E1035,", ")</f>
        <v>Burnt Cu scrap - 0.028, </v>
      </c>
      <c r="H1035" s="98"/>
      <c r="I1035" s="98" t="e">
        <f ca="1">IF(G1034&gt;=6,(MID(H1035,1,1)&amp;MID(H1035,2,4)+1),CELL("address",Z1035))</f>
        <v>#VALUE!</v>
      </c>
      <c r="J1035" s="98" t="e">
        <f ca="1">IF(G1034&gt;=7,(MID(I1035,1,1)&amp;MID(I1035,2,4)+1),CELL("address",AA1035))</f>
        <v>#VALUE!</v>
      </c>
      <c r="K1035" s="98" t="e">
        <f ca="1">IF(G1034&gt;=8,(MID(J1035,1,1)&amp;MID(J1035,2,4)+1),CELL("address",AB1035))</f>
        <v>#VALUE!</v>
      </c>
      <c r="L1035" s="98" t="e">
        <f ca="1">IF(G1034&gt;=9,(MID(K1035,1,1)&amp;MID(K1035,2,4)+1),CELL("address",AC1035))</f>
        <v>#VALUE!</v>
      </c>
      <c r="M1035" s="98" t="e">
        <f ca="1">IF(G1034&gt;=10,(MID(L1035,1,1)&amp;MID(L1035,2,4)+1),CELL("address",AD1035))</f>
        <v>#VALUE!</v>
      </c>
      <c r="N1035" s="98" t="e">
        <f ca="1">IF(G1034&gt;=11,(MID(M1035,1,1)&amp;MID(M1035,2,4)+1),CELL("address",AE1035))</f>
        <v>#VALUE!</v>
      </c>
      <c r="O1035" s="98" t="e">
        <f ca="1">IF(G1034&gt;=12,(MID(N1035,1,1)&amp;MID(N1035,2,4)+1),CELL("address",AF1035))</f>
        <v>#VALUE!</v>
      </c>
    </row>
    <row r="1036" spans="1:8" ht="15" customHeight="1">
      <c r="A1036" s="260"/>
      <c r="B1036" s="260"/>
      <c r="C1036" s="278"/>
      <c r="D1036" s="45" t="s">
        <v>147</v>
      </c>
      <c r="E1036" s="46">
        <v>0.6</v>
      </c>
      <c r="G1036" s="102" t="str">
        <f>CONCATENATE(D1036," - ",E1036,", ")</f>
        <v>Ms Nuts &amp; Bolts - 0.6, </v>
      </c>
      <c r="H1036" s="1"/>
    </row>
    <row r="1037" spans="1:8" ht="15" customHeight="1">
      <c r="A1037" s="260"/>
      <c r="B1037" s="260"/>
      <c r="C1037" s="287"/>
      <c r="D1037" s="40" t="s">
        <v>27</v>
      </c>
      <c r="E1037" s="46">
        <v>0.091</v>
      </c>
      <c r="G1037" s="102" t="str">
        <f>CONCATENATE(D1037," - ",E1037,", ")</f>
        <v>Iron scrap - 0.091, </v>
      </c>
      <c r="H1037" s="1"/>
    </row>
    <row r="1038" spans="1:8" ht="15" customHeight="1">
      <c r="A1038" s="50"/>
      <c r="B1038" s="59"/>
      <c r="C1038" s="225"/>
      <c r="D1038" s="45"/>
      <c r="E1038" s="46"/>
      <c r="H1038" s="1"/>
    </row>
    <row r="1039" spans="1:15" ht="15" customHeight="1">
      <c r="A1039" s="265"/>
      <c r="B1039" s="266"/>
      <c r="C1039" s="66"/>
      <c r="D1039" s="66"/>
      <c r="E1039" s="67">
        <f>SUM(E1041:E1042)</f>
        <v>0.8340000000000001</v>
      </c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</row>
    <row r="1040" spans="1:18" ht="15" customHeight="1">
      <c r="A1040" s="260" t="s">
        <v>5</v>
      </c>
      <c r="B1040" s="260"/>
      <c r="C1040" s="64" t="s">
        <v>17</v>
      </c>
      <c r="D1040" s="65" t="s">
        <v>18</v>
      </c>
      <c r="E1040" s="64" t="s">
        <v>7</v>
      </c>
      <c r="F1040" s="98"/>
      <c r="G1040" s="174" t="str">
        <f>CONCATENATE("Misc. Healthy parts/ Non Ferrous  Scrap, Lying at ",C1041,". Quantity in MT - ")</f>
        <v>Misc. Healthy parts/ Non Ferrous  Scrap, Lying at TRY Patran. Quantity in MT - </v>
      </c>
      <c r="H1040" s="268" t="str">
        <f ca="1">CONCATENATE(G1040,G1041,(INDIRECT(I1041)),(INDIRECT(J1041)),(INDIRECT(K1041)),(INDIRECT(L1041)),(INDIRECT(M1041)),(INDIRECT(N1041)),(INDIRECT(O1041)),(INDIRECT(P1041)),(INDIRECT(Q1041)),(INDIRECT(R1041)),".")</f>
        <v>Misc. Healthy parts/ Non Ferrous  Scrap, Lying at TRY Patran. Quantity in MT - Brass scrap - 0.783, Misc. Alumn. Scrap - 0.051, .</v>
      </c>
      <c r="I1040" s="98" t="str">
        <f aca="true" ca="1" t="array" ref="I1040">CELL("address",INDEX(G1040:G1062,MATCH(TRUE,ISBLANK(G1040:G1062),0)))</f>
        <v>$G$1043</v>
      </c>
      <c r="J1040" s="98">
        <f aca="true" t="array" ref="J1040">MATCH(TRUE,ISBLANK(G1040:G1062),0)</f>
        <v>4</v>
      </c>
      <c r="K1040" s="98">
        <f>J1040-3</f>
        <v>1</v>
      </c>
      <c r="L1040" s="98"/>
      <c r="M1040" s="98"/>
      <c r="N1040" s="98"/>
      <c r="O1040" s="98"/>
      <c r="P1040" s="98"/>
      <c r="Q1040" s="98"/>
      <c r="R1040" s="98"/>
    </row>
    <row r="1041" spans="1:18" ht="15" customHeight="1">
      <c r="A1041" s="260" t="s">
        <v>117</v>
      </c>
      <c r="B1041" s="260"/>
      <c r="C1041" s="261" t="s">
        <v>136</v>
      </c>
      <c r="D1041" s="45" t="s">
        <v>23</v>
      </c>
      <c r="E1041" s="45">
        <v>0.783</v>
      </c>
      <c r="G1041" s="102" t="str">
        <f>CONCATENATE(D1041," - ",E1041,", ")</f>
        <v>Brass scrap - 0.783, </v>
      </c>
      <c r="H1041" s="268"/>
      <c r="I1041" s="98" t="str">
        <f ca="1">IF(J1040&gt;=3,(MID(I1040,2,1)&amp;MID(I1040,4,4)-K1040),CELL("address",Z1041))</f>
        <v>G1042</v>
      </c>
      <c r="J1041" s="98" t="str">
        <f ca="1">IF(J1040&gt;=4,(MID(I1041,1,1)&amp;MID(I1041,2,4)+1),CELL("address",AA1041))</f>
        <v>G1043</v>
      </c>
      <c r="K1041" s="98" t="str">
        <f ca="1">IF(J1040&gt;=5,(MID(J1041,1,1)&amp;MID(J1041,2,4)+1),CELL("address",AB1041))</f>
        <v>$AB$1041</v>
      </c>
      <c r="L1041" s="98" t="str">
        <f ca="1">IF(J1040&gt;=6,(MID(K1041,1,1)&amp;MID(K1041,2,4)+1),CELL("address",AC1041))</f>
        <v>$AC$1041</v>
      </c>
      <c r="M1041" s="98" t="str">
        <f ca="1">IF(J1040&gt;=7,(MID(L1041,1,1)&amp;MID(L1041,2,4)+1),CELL("address",AD1041))</f>
        <v>$AD$1041</v>
      </c>
      <c r="N1041" s="98" t="str">
        <f ca="1">IF(J1040&gt;=8,(MID(M1041,1,1)&amp;MID(M1041,2,4)+1),CELL("address",AE1041))</f>
        <v>$AE$1041</v>
      </c>
      <c r="O1041" s="98" t="str">
        <f ca="1">IF(J1040&gt;=9,(MID(N1041,1,1)&amp;MID(N1041,2,4)+1),CELL("address",AF1041))</f>
        <v>$AF$1041</v>
      </c>
      <c r="P1041" s="98" t="str">
        <f ca="1">IF(J1040&gt;=10,(MID(O1041,1,1)&amp;MID(O1041,2,4)+1),CELL("address",AG1041))</f>
        <v>$AG$1041</v>
      </c>
      <c r="Q1041" s="98" t="str">
        <f ca="1">IF(J1040&gt;=11,(MID(P1041,1,1)&amp;MID(P1041,2,4)+1),CELL("address",AH1041))</f>
        <v>$AH$1041</v>
      </c>
      <c r="R1041" s="98" t="str">
        <f ca="1">IF(J1040&gt;=12,(MID(Q1041,1,1)&amp;MID(Q1041,2,4)+1),CELL("address",AI1041))</f>
        <v>$AI$1041</v>
      </c>
    </row>
    <row r="1042" spans="1:8" ht="15" customHeight="1">
      <c r="A1042" s="260"/>
      <c r="B1042" s="260"/>
      <c r="C1042" s="261"/>
      <c r="D1042" s="45" t="s">
        <v>31</v>
      </c>
      <c r="E1042" s="64">
        <v>0.051</v>
      </c>
      <c r="G1042" s="102" t="str">
        <f>CONCATENATE(D1042," - ",E1042,", ")</f>
        <v>Misc. Alumn. Scrap - 0.051, </v>
      </c>
      <c r="H1042" s="1"/>
    </row>
    <row r="1043" spans="1:8" ht="15" customHeight="1">
      <c r="A1043" s="35"/>
      <c r="H1043" s="1"/>
    </row>
    <row r="1044" spans="1:15" ht="15" customHeight="1">
      <c r="A1044" s="265"/>
      <c r="B1044" s="266"/>
      <c r="C1044" s="66"/>
      <c r="D1044" s="66"/>
      <c r="E1044" s="67">
        <f>SUM(E1046:E1047)</f>
        <v>2.17</v>
      </c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</row>
    <row r="1045" spans="1:18" ht="15" customHeight="1">
      <c r="A1045" s="260" t="s">
        <v>5</v>
      </c>
      <c r="B1045" s="260"/>
      <c r="C1045" s="64" t="s">
        <v>17</v>
      </c>
      <c r="D1045" s="65" t="s">
        <v>18</v>
      </c>
      <c r="E1045" s="64" t="s">
        <v>7</v>
      </c>
      <c r="F1045" s="98"/>
      <c r="G1045" s="174" t="str">
        <f>CONCATENATE("Misc. Healthy parts/ Non Ferrous  Scrap, Lying at ",C1046,". Quantity in MT - ")</f>
        <v>Misc. Healthy parts/ Non Ferrous  Scrap, Lying at TRY Ropar. Quantity in MT - </v>
      </c>
      <c r="H1045" s="268" t="str">
        <f ca="1">CONCATENATE(G1045,G1046,(INDIRECT(I1046)),(INDIRECT(J1046)),(INDIRECT(K1046)),(INDIRECT(L1046)),(INDIRECT(M1046)),(INDIRECT(N1046)),(INDIRECT(O1046)),(INDIRECT(P1046)),(INDIRECT(Q1046)),(INDIRECT(R1046)),".")</f>
        <v>Misc. Healthy parts/ Non Ferrous  Scrap, Lying at TRY Ropar. Quantity in MT - Brass scrap - 2.007, Misc. Alumn. Scrap - 0.163, .</v>
      </c>
      <c r="I1045" s="98" t="str">
        <f aca="true" ca="1" t="array" ref="I1045">CELL("address",INDEX(G1045:G1067,MATCH(TRUE,ISBLANK(G1045:G1067),0)))</f>
        <v>$G$1048</v>
      </c>
      <c r="J1045" s="98">
        <f aca="true" t="array" ref="J1045">MATCH(TRUE,ISBLANK(G1045:G1067),0)</f>
        <v>4</v>
      </c>
      <c r="K1045" s="98">
        <f>J1045-3</f>
        <v>1</v>
      </c>
      <c r="L1045" s="98"/>
      <c r="M1045" s="98"/>
      <c r="N1045" s="98"/>
      <c r="O1045" s="98"/>
      <c r="P1045" s="98"/>
      <c r="Q1045" s="98"/>
      <c r="R1045" s="98"/>
    </row>
    <row r="1046" spans="1:18" ht="15" customHeight="1">
      <c r="A1046" s="260" t="s">
        <v>118</v>
      </c>
      <c r="B1046" s="260"/>
      <c r="C1046" s="261" t="s">
        <v>143</v>
      </c>
      <c r="D1046" s="45" t="s">
        <v>23</v>
      </c>
      <c r="E1046" s="45">
        <v>2.007</v>
      </c>
      <c r="G1046" s="102" t="str">
        <f>CONCATENATE(D1046," - ",E1046,", ")</f>
        <v>Brass scrap - 2.007, </v>
      </c>
      <c r="H1046" s="268"/>
      <c r="I1046" s="98" t="str">
        <f ca="1">IF(J1045&gt;=3,(MID(I1045,2,1)&amp;MID(I1045,4,4)-K1045),CELL("address",Z1046))</f>
        <v>G1047</v>
      </c>
      <c r="J1046" s="98" t="str">
        <f ca="1">IF(J1045&gt;=4,(MID(I1046,1,1)&amp;MID(I1046,2,4)+1),CELL("address",AA1046))</f>
        <v>G1048</v>
      </c>
      <c r="K1046" s="98" t="str">
        <f ca="1">IF(J1045&gt;=5,(MID(J1046,1,1)&amp;MID(J1046,2,4)+1),CELL("address",AB1046))</f>
        <v>$AB$1046</v>
      </c>
      <c r="L1046" s="98" t="str">
        <f ca="1">IF(J1045&gt;=6,(MID(K1046,1,1)&amp;MID(K1046,2,4)+1),CELL("address",AC1046))</f>
        <v>$AC$1046</v>
      </c>
      <c r="M1046" s="98" t="str">
        <f ca="1">IF(J1045&gt;=7,(MID(L1046,1,1)&amp;MID(L1046,2,4)+1),CELL("address",AD1046))</f>
        <v>$AD$1046</v>
      </c>
      <c r="N1046" s="98" t="str">
        <f ca="1">IF(J1045&gt;=8,(MID(M1046,1,1)&amp;MID(M1046,2,4)+1),CELL("address",AE1046))</f>
        <v>$AE$1046</v>
      </c>
      <c r="O1046" s="98" t="str">
        <f ca="1">IF(J1045&gt;=9,(MID(N1046,1,1)&amp;MID(N1046,2,4)+1),CELL("address",AF1046))</f>
        <v>$AF$1046</v>
      </c>
      <c r="P1046" s="98" t="str">
        <f ca="1">IF(J1045&gt;=10,(MID(O1046,1,1)&amp;MID(O1046,2,4)+1),CELL("address",AG1046))</f>
        <v>$AG$1046</v>
      </c>
      <c r="Q1046" s="98" t="str">
        <f ca="1">IF(J1045&gt;=11,(MID(P1046,1,1)&amp;MID(P1046,2,4)+1),CELL("address",AH1046))</f>
        <v>$AH$1046</v>
      </c>
      <c r="R1046" s="98" t="str">
        <f ca="1">IF(J1045&gt;=12,(MID(Q1046,1,1)&amp;MID(Q1046,2,4)+1),CELL("address",AI1046))</f>
        <v>$AI$1046</v>
      </c>
    </row>
    <row r="1047" spans="1:8" ht="15" customHeight="1">
      <c r="A1047" s="260"/>
      <c r="B1047" s="260"/>
      <c r="C1047" s="261"/>
      <c r="D1047" s="45" t="s">
        <v>31</v>
      </c>
      <c r="E1047" s="64">
        <v>0.163</v>
      </c>
      <c r="G1047" s="102" t="str">
        <f>CONCATENATE(D1047," - ",E1047,", ")</f>
        <v>Misc. Alumn. Scrap - 0.163, </v>
      </c>
      <c r="H1047" s="1"/>
    </row>
    <row r="1048" spans="1:8" ht="15" customHeight="1">
      <c r="A1048" s="51"/>
      <c r="B1048" s="54"/>
      <c r="C1048" s="19"/>
      <c r="D1048" s="83"/>
      <c r="E1048" s="82"/>
      <c r="H1048" s="1"/>
    </row>
    <row r="1049" spans="1:8" ht="15" customHeight="1">
      <c r="A1049" s="265"/>
      <c r="B1049" s="266"/>
      <c r="C1049" s="66"/>
      <c r="D1049" s="66"/>
      <c r="E1049" s="67">
        <f>SUM(E1051:E1056)</f>
        <v>1.9550000000000003</v>
      </c>
      <c r="H1049" s="1"/>
    </row>
    <row r="1050" spans="1:18" ht="15" customHeight="1">
      <c r="A1050" s="260" t="s">
        <v>5</v>
      </c>
      <c r="B1050" s="260"/>
      <c r="C1050" s="64" t="s">
        <v>17</v>
      </c>
      <c r="D1050" s="65" t="s">
        <v>18</v>
      </c>
      <c r="E1050" s="64" t="s">
        <v>7</v>
      </c>
      <c r="G1050" s="174" t="str">
        <f>CONCATENATE("Misc. Healthy parts/ Non Ferrous  Scrap, Lying at ",C1051,". Quantity in MT - ")</f>
        <v>Misc. Healthy parts/ Non Ferrous  Scrap, Lying at TRY Patiala. Quantity in MT - </v>
      </c>
      <c r="H1050" s="268" t="str">
        <f ca="1">CONCATENATE(G1050,G1051,(INDIRECT(I1051)),(INDIRECT(J1051)),(INDIRECT(K1051)),(INDIRECT(L1051)),(INDIRECT(M1051)),(INDIRECT(N1051)),(INDIRECT(O1051)),(INDIRECT(P1051)),(INDIRECT(Q1051)),(INDIRECT(R1051)),".")</f>
        <v>Misc. Healthy parts/ Non Ferrous  Scrap, Lying at TRY Patiala. Quantity in MT - Brass scrap - 0.767, Misc. Alumn. Scrap - 0.069, Burnt Cu scrap - 0.055, Nuts &amp; Bolts scrap - 0.87, Teen Patra scrap - 0.136, M.S Iron scrap - 0.058, .</v>
      </c>
      <c r="I1050" s="98" t="str">
        <f aca="true" ca="1" t="array" ref="I1050">CELL("address",INDEX(G1050:G1072,MATCH(TRUE,ISBLANK(G1050:G1072),0)))</f>
        <v>$G$1057</v>
      </c>
      <c r="J1050" s="98">
        <f aca="true" t="array" ref="J1050">MATCH(TRUE,ISBLANK(G1050:G1072),0)</f>
        <v>8</v>
      </c>
      <c r="K1050" s="98">
        <f>J1050-3</f>
        <v>5</v>
      </c>
      <c r="L1050" s="98"/>
      <c r="M1050" s="98"/>
      <c r="N1050" s="98"/>
      <c r="O1050" s="98"/>
      <c r="P1050" s="98"/>
      <c r="Q1050" s="98"/>
      <c r="R1050" s="98"/>
    </row>
    <row r="1051" spans="1:18" ht="15" customHeight="1">
      <c r="A1051" s="260" t="s">
        <v>125</v>
      </c>
      <c r="B1051" s="260"/>
      <c r="C1051" s="261" t="s">
        <v>120</v>
      </c>
      <c r="D1051" s="45" t="s">
        <v>23</v>
      </c>
      <c r="E1051" s="47">
        <v>0.767</v>
      </c>
      <c r="G1051" s="102" t="str">
        <f aca="true" t="shared" si="8" ref="G1051:G1056">CONCATENATE(D1051," - ",E1051,", ")</f>
        <v>Brass scrap - 0.767, </v>
      </c>
      <c r="H1051" s="268"/>
      <c r="I1051" s="98" t="str">
        <f ca="1">IF(J1050&gt;=3,(MID(I1050,2,1)&amp;MID(I1050,4,4)-K1050),CELL("address",Z1051))</f>
        <v>G1052</v>
      </c>
      <c r="J1051" s="98" t="str">
        <f ca="1">IF(J1050&gt;=4,(MID(I1051,1,1)&amp;MID(I1051,2,4)+1),CELL("address",AA1051))</f>
        <v>G1053</v>
      </c>
      <c r="K1051" s="98" t="str">
        <f ca="1">IF(J1050&gt;=5,(MID(J1051,1,1)&amp;MID(J1051,2,4)+1),CELL("address",AB1051))</f>
        <v>G1054</v>
      </c>
      <c r="L1051" s="98" t="str">
        <f ca="1">IF(J1050&gt;=6,(MID(K1051,1,1)&amp;MID(K1051,2,4)+1),CELL("address",AC1051))</f>
        <v>G1055</v>
      </c>
      <c r="M1051" s="98" t="str">
        <f ca="1">IF(J1050&gt;=7,(MID(L1051,1,1)&amp;MID(L1051,2,4)+1),CELL("address",AD1051))</f>
        <v>G1056</v>
      </c>
      <c r="N1051" s="98" t="str">
        <f ca="1">IF(J1050&gt;=8,(MID(M1051,1,1)&amp;MID(M1051,2,4)+1),CELL("address",AE1051))</f>
        <v>G1057</v>
      </c>
      <c r="O1051" s="98" t="str">
        <f ca="1">IF(J1050&gt;=9,(MID(N1051,1,1)&amp;MID(N1051,2,4)+1),CELL("address",AF1051))</f>
        <v>$AF$1051</v>
      </c>
      <c r="P1051" s="98" t="str">
        <f ca="1">IF(J1050&gt;=10,(MID(O1051,1,1)&amp;MID(O1051,2,4)+1),CELL("address",AG1051))</f>
        <v>$AG$1051</v>
      </c>
      <c r="Q1051" s="98" t="str">
        <f ca="1">IF(J1050&gt;=11,(MID(P1051,1,1)&amp;MID(P1051,2,4)+1),CELL("address",AH1051))</f>
        <v>$AH$1051</v>
      </c>
      <c r="R1051" s="98" t="str">
        <f ca="1">IF(J1050&gt;=12,(MID(Q1051,1,1)&amp;MID(Q1051,2,4)+1),CELL("address",AI1051))</f>
        <v>$AI$1051</v>
      </c>
    </row>
    <row r="1052" spans="1:8" ht="15" customHeight="1">
      <c r="A1052" s="260"/>
      <c r="B1052" s="260"/>
      <c r="C1052" s="261"/>
      <c r="D1052" s="45" t="s">
        <v>31</v>
      </c>
      <c r="E1052" s="73">
        <v>0.069</v>
      </c>
      <c r="G1052" s="102" t="str">
        <f t="shared" si="8"/>
        <v>Misc. Alumn. Scrap - 0.069, </v>
      </c>
      <c r="H1052" s="1"/>
    </row>
    <row r="1053" spans="1:15" ht="15" customHeight="1">
      <c r="A1053" s="260"/>
      <c r="B1053" s="260"/>
      <c r="C1053" s="261"/>
      <c r="D1053" s="40" t="s">
        <v>37</v>
      </c>
      <c r="E1053" s="198">
        <v>0.055</v>
      </c>
      <c r="F1053" s="98"/>
      <c r="G1053" s="102" t="str">
        <f t="shared" si="8"/>
        <v>Burnt Cu scrap - 0.055, </v>
      </c>
      <c r="H1053" s="98"/>
      <c r="I1053" s="98"/>
      <c r="J1053" s="98"/>
      <c r="K1053" s="98"/>
      <c r="L1053" s="98"/>
      <c r="M1053" s="98"/>
      <c r="N1053" s="98"/>
      <c r="O1053" s="98"/>
    </row>
    <row r="1054" spans="1:15" ht="15" customHeight="1">
      <c r="A1054" s="260"/>
      <c r="B1054" s="260"/>
      <c r="C1054" s="261"/>
      <c r="D1054" s="40" t="s">
        <v>58</v>
      </c>
      <c r="E1054" s="198">
        <v>0.87</v>
      </c>
      <c r="F1054" s="98"/>
      <c r="G1054" s="102" t="str">
        <f t="shared" si="8"/>
        <v>Nuts &amp; Bolts scrap - 0.87, </v>
      </c>
      <c r="H1054" s="98"/>
      <c r="I1054" s="98" t="e">
        <f ca="1">IF(G1053&gt;=6,(MID(H1054,1,1)&amp;MID(H1054,2,4)+1),CELL("address",Z1054))</f>
        <v>#VALUE!</v>
      </c>
      <c r="J1054" s="98" t="e">
        <f ca="1">IF(G1053&gt;=7,(MID(I1054,1,1)&amp;MID(I1054,2,4)+1),CELL("address",AA1054))</f>
        <v>#VALUE!</v>
      </c>
      <c r="K1054" s="98" t="e">
        <f ca="1">IF(G1053&gt;=8,(MID(J1054,1,1)&amp;MID(J1054,2,4)+1),CELL("address",AB1054))</f>
        <v>#VALUE!</v>
      </c>
      <c r="L1054" s="98" t="e">
        <f ca="1">IF(G1053&gt;=9,(MID(K1054,1,1)&amp;MID(K1054,2,4)+1),CELL("address",AC1054))</f>
        <v>#VALUE!</v>
      </c>
      <c r="M1054" s="98" t="e">
        <f ca="1">IF(G1053&gt;=10,(MID(L1054,1,1)&amp;MID(L1054,2,4)+1),CELL("address",AD1054))</f>
        <v>#VALUE!</v>
      </c>
      <c r="N1054" s="98" t="e">
        <f ca="1">IF(G1053&gt;=11,(MID(M1054,1,1)&amp;MID(M1054,2,4)+1),CELL("address",AE1054))</f>
        <v>#VALUE!</v>
      </c>
      <c r="O1054" s="98" t="e">
        <f ca="1">IF(G1053&gt;=12,(MID(N1054,1,1)&amp;MID(N1054,2,4)+1),CELL("address",AF1054))</f>
        <v>#VALUE!</v>
      </c>
    </row>
    <row r="1055" spans="1:8" ht="15" customHeight="1">
      <c r="A1055" s="260"/>
      <c r="B1055" s="260"/>
      <c r="C1055" s="261"/>
      <c r="D1055" s="40" t="s">
        <v>64</v>
      </c>
      <c r="E1055" s="198">
        <v>0.136</v>
      </c>
      <c r="G1055" s="102" t="str">
        <f t="shared" si="8"/>
        <v>Teen Patra scrap - 0.136, </v>
      </c>
      <c r="H1055" s="1"/>
    </row>
    <row r="1056" spans="1:8" ht="15" customHeight="1">
      <c r="A1056" s="260"/>
      <c r="B1056" s="260"/>
      <c r="C1056" s="261"/>
      <c r="D1056" s="40" t="s">
        <v>530</v>
      </c>
      <c r="E1056" s="198">
        <v>0.058</v>
      </c>
      <c r="G1056" s="102" t="str">
        <f t="shared" si="8"/>
        <v>M.S Iron scrap - 0.058, </v>
      </c>
      <c r="H1056" s="1"/>
    </row>
    <row r="1057" spans="1:15" ht="15" customHeight="1">
      <c r="A1057" s="35"/>
      <c r="B1057" s="1"/>
      <c r="C1057" s="1"/>
      <c r="D1057" s="1"/>
      <c r="E1057" s="1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</row>
    <row r="1058" spans="1:15" ht="15" customHeight="1">
      <c r="A1058" s="265"/>
      <c r="B1058" s="266"/>
      <c r="C1058" s="66"/>
      <c r="D1058" s="66"/>
      <c r="E1058" s="67">
        <f>SUM(E1060:E1060)</f>
        <v>0.011</v>
      </c>
      <c r="F1058" s="98"/>
      <c r="G1058" s="98"/>
      <c r="H1058" s="98"/>
      <c r="I1058" s="98" t="str">
        <f ca="1">IF(G1057&gt;=6,(MID(H1058,1,1)&amp;MID(H1058,2,4)+1),CELL("address",Z1058))</f>
        <v>$Z$1058</v>
      </c>
      <c r="J1058" s="98" t="str">
        <f ca="1">IF(G1057&gt;=7,(MID(I1058,1,1)&amp;MID(I1058,2,4)+1),CELL("address",AA1058))</f>
        <v>$AA$1058</v>
      </c>
      <c r="K1058" s="98" t="str">
        <f ca="1">IF(G1057&gt;=8,(MID(J1058,1,1)&amp;MID(J1058,2,4)+1),CELL("address",AB1058))</f>
        <v>$AB$1058</v>
      </c>
      <c r="L1058" s="98" t="str">
        <f ca="1">IF(G1057&gt;=9,(MID(K1058,1,1)&amp;MID(K1058,2,4)+1),CELL("address",AC1058))</f>
        <v>$AC$1058</v>
      </c>
      <c r="M1058" s="98" t="str">
        <f ca="1">IF(G1057&gt;=10,(MID(L1058,1,1)&amp;MID(L1058,2,4)+1),CELL("address",AD1058))</f>
        <v>$AD$1058</v>
      </c>
      <c r="N1058" s="98" t="str">
        <f ca="1">IF(G1057&gt;=11,(MID(M1058,1,1)&amp;MID(M1058,2,4)+1),CELL("address",AE1058))</f>
        <v>$AE$1058</v>
      </c>
      <c r="O1058" s="98" t="str">
        <f ca="1">IF(G1057&gt;=12,(MID(N1058,1,1)&amp;MID(N1058,2,4)+1),CELL("address",AF1058))</f>
        <v>$AF$1058</v>
      </c>
    </row>
    <row r="1059" spans="1:18" ht="15" customHeight="1">
      <c r="A1059" s="260" t="s">
        <v>5</v>
      </c>
      <c r="B1059" s="260"/>
      <c r="C1059" s="64" t="s">
        <v>17</v>
      </c>
      <c r="D1059" s="65" t="s">
        <v>18</v>
      </c>
      <c r="E1059" s="64" t="s">
        <v>7</v>
      </c>
      <c r="G1059" s="174" t="str">
        <f>CONCATENATE("Misc. Healthy parts/ Non Ferrous  Scrap, Lying at ",C1060,". Quantity in MT - ")</f>
        <v>Misc. Healthy parts/ Non Ferrous  Scrap, Lying at CS Malout. Quantity in MT - </v>
      </c>
      <c r="H1059" s="268" t="str">
        <f ca="1">CONCATENATE(G1059,G1060,(INDIRECT(I1060)),(INDIRECT(J1060)),(INDIRECT(K1060)),(INDIRECT(L1060)),(INDIRECT(M1060)),(INDIRECT(N1060)),(INDIRECT(O1060)),(INDIRECT(P1060)),(INDIRECT(Q1060)),(INDIRECT(R1060)),".")</f>
        <v>Misc. Healthy parts/ Non Ferrous  Scrap, Lying at CS Malout. Quantity in MT - Brass scrap - 0.011, .</v>
      </c>
      <c r="I1059" s="98" t="str">
        <f aca="true" ca="1" t="array" ref="I1059">CELL("address",INDEX(G1059:G1081,MATCH(TRUE,ISBLANK(G1059:G1081),0)))</f>
        <v>$G$1061</v>
      </c>
      <c r="J1059" s="98">
        <f aca="true" t="array" ref="J1059">MATCH(TRUE,ISBLANK(G1059:G1081),0)</f>
        <v>3</v>
      </c>
      <c r="K1059" s="98">
        <f>J1059-3</f>
        <v>0</v>
      </c>
      <c r="L1059" s="98"/>
      <c r="M1059" s="98"/>
      <c r="N1059" s="98"/>
      <c r="O1059" s="98"/>
      <c r="P1059" s="98"/>
      <c r="Q1059" s="98"/>
      <c r="R1059" s="98"/>
    </row>
    <row r="1060" spans="1:18" ht="15" customHeight="1">
      <c r="A1060" s="260" t="s">
        <v>133</v>
      </c>
      <c r="B1060" s="260"/>
      <c r="C1060" s="221" t="s">
        <v>95</v>
      </c>
      <c r="D1060" s="45" t="s">
        <v>23</v>
      </c>
      <c r="E1060" s="47">
        <v>0.011</v>
      </c>
      <c r="G1060" s="102" t="str">
        <f>CONCATENATE(D1060," - ",E1060,", ")</f>
        <v>Brass scrap - 0.011, </v>
      </c>
      <c r="H1060" s="268"/>
      <c r="I1060" s="98" t="str">
        <f ca="1">IF(J1059&gt;=3,(MID(I1059,2,1)&amp;MID(I1059,4,4)-K1059),CELL("address",Z1060))</f>
        <v>G1061</v>
      </c>
      <c r="J1060" s="98" t="str">
        <f ca="1">IF(J1059&gt;=4,(MID(I1060,1,1)&amp;MID(I1060,2,4)+1),CELL("address",AA1060))</f>
        <v>$AA$1060</v>
      </c>
      <c r="K1060" s="98" t="str">
        <f ca="1">IF(J1059&gt;=5,(MID(J1060,1,1)&amp;MID(J1060,2,4)+1),CELL("address",AB1060))</f>
        <v>$AB$1060</v>
      </c>
      <c r="L1060" s="98" t="str">
        <f ca="1">IF(J1059&gt;=6,(MID(K1060,1,1)&amp;MID(K1060,2,4)+1),CELL("address",AC1060))</f>
        <v>$AC$1060</v>
      </c>
      <c r="M1060" s="98" t="str">
        <f ca="1">IF(J1059&gt;=7,(MID(L1060,1,1)&amp;MID(L1060,2,4)+1),CELL("address",AD1060))</f>
        <v>$AD$1060</v>
      </c>
      <c r="N1060" s="98" t="str">
        <f ca="1">IF(J1059&gt;=8,(MID(M1060,1,1)&amp;MID(M1060,2,4)+1),CELL("address",AE1060))</f>
        <v>$AE$1060</v>
      </c>
      <c r="O1060" s="98" t="str">
        <f ca="1">IF(J1059&gt;=9,(MID(N1060,1,1)&amp;MID(N1060,2,4)+1),CELL("address",AF1060))</f>
        <v>$AF$1060</v>
      </c>
      <c r="P1060" s="98" t="str">
        <f ca="1">IF(J1059&gt;=10,(MID(O1060,1,1)&amp;MID(O1060,2,4)+1),CELL("address",AG1060))</f>
        <v>$AG$1060</v>
      </c>
      <c r="Q1060" s="98" t="str">
        <f ca="1">IF(J1059&gt;=11,(MID(P1060,1,1)&amp;MID(P1060,2,4)+1),CELL("address",AH1060))</f>
        <v>$AH$1060</v>
      </c>
      <c r="R1060" s="98" t="str">
        <f ca="1">IF(J1059&gt;=12,(MID(Q1060,1,1)&amp;MID(Q1060,2,4)+1),CELL("address",AI1060))</f>
        <v>$AI$1060</v>
      </c>
    </row>
    <row r="1061" spans="1:15" ht="15" customHeight="1">
      <c r="A1061" s="285"/>
      <c r="B1061" s="286"/>
      <c r="C1061" s="92"/>
      <c r="D1061" s="92"/>
      <c r="E1061" s="92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</row>
    <row r="1062" spans="1:15" ht="15" customHeight="1">
      <c r="A1062" s="265"/>
      <c r="B1062" s="266"/>
      <c r="C1062" s="66"/>
      <c r="D1062" s="66"/>
      <c r="E1062" s="67">
        <f>SUM(E1064:E1064)</f>
        <v>1</v>
      </c>
      <c r="F1062" s="98"/>
      <c r="G1062" s="98"/>
      <c r="H1062" s="98"/>
      <c r="I1062" s="98" t="str">
        <f ca="1">IF(G1061&gt;=6,(MID(H1062,1,1)&amp;MID(H1062,2,4)+1),CELL("address",Z1062))</f>
        <v>$Z$1062</v>
      </c>
      <c r="J1062" s="98" t="str">
        <f ca="1">IF(G1061&gt;=7,(MID(I1062,1,1)&amp;MID(I1062,2,4)+1),CELL("address",AA1062))</f>
        <v>$AA$1062</v>
      </c>
      <c r="K1062" s="98" t="str">
        <f ca="1">IF(G1061&gt;=8,(MID(J1062,1,1)&amp;MID(J1062,2,4)+1),CELL("address",AB1062))</f>
        <v>$AB$1062</v>
      </c>
      <c r="L1062" s="98" t="str">
        <f ca="1">IF(G1061&gt;=9,(MID(K1062,1,1)&amp;MID(K1062,2,4)+1),CELL("address",AC1062))</f>
        <v>$AC$1062</v>
      </c>
      <c r="M1062" s="98" t="str">
        <f ca="1">IF(G1061&gt;=10,(MID(L1062,1,1)&amp;MID(L1062,2,4)+1),CELL("address",AD1062))</f>
        <v>$AD$1062</v>
      </c>
      <c r="N1062" s="98" t="str">
        <f ca="1">IF(G1061&gt;=11,(MID(M1062,1,1)&amp;MID(M1062,2,4)+1),CELL("address",AE1062))</f>
        <v>$AE$1062</v>
      </c>
      <c r="O1062" s="98" t="str">
        <f ca="1">IF(G1061&gt;=12,(MID(N1062,1,1)&amp;MID(N1062,2,4)+1),CELL("address",AF1062))</f>
        <v>$AF$1062</v>
      </c>
    </row>
    <row r="1063" spans="1:18" ht="15" customHeight="1">
      <c r="A1063" s="260" t="s">
        <v>5</v>
      </c>
      <c r="B1063" s="260"/>
      <c r="C1063" s="64" t="s">
        <v>17</v>
      </c>
      <c r="D1063" s="65" t="s">
        <v>18</v>
      </c>
      <c r="E1063" s="64" t="s">
        <v>7</v>
      </c>
      <c r="G1063" s="174" t="str">
        <f>CONCATENATE("Misc. Healthy parts/ Non Ferrous  Scrap, Lying at ",C1064,". Quantity in MT - ")</f>
        <v>Misc. Healthy parts/ Non Ferrous  Scrap, Lying at TRY Bathinda. Quantity in MT - </v>
      </c>
      <c r="H1063" s="268" t="str">
        <f ca="1">CONCATENATE(G1063,G1064,(INDIRECT(I1064)),(INDIRECT(J1064)),(INDIRECT(K1064)),(INDIRECT(L1064)),(INDIRECT(M1064)),(INDIRECT(N1064)),(INDIRECT(O1064)),(INDIRECT(P1064)),(INDIRECT(Q1064)),(INDIRECT(R1064)),".")</f>
        <v>Misc. Healthy parts/ Non Ferrous  Scrap, Lying at TRY Bathinda. Quantity in MT - Brass scrap - 1, .</v>
      </c>
      <c r="I1063" s="98" t="str">
        <f aca="true" ca="1" t="array" ref="I1063">CELL("address",INDEX(G1063:G1087,MATCH(TRUE,ISBLANK(G1063:G1087),0)))</f>
        <v>$G$1065</v>
      </c>
      <c r="J1063" s="98">
        <f aca="true" t="array" ref="J1063">MATCH(TRUE,ISBLANK(G1063:G1087),0)</f>
        <v>3</v>
      </c>
      <c r="K1063" s="98">
        <f>J1063-3</f>
        <v>0</v>
      </c>
      <c r="L1063" s="98"/>
      <c r="M1063" s="98"/>
      <c r="N1063" s="98"/>
      <c r="O1063" s="98"/>
      <c r="P1063" s="98"/>
      <c r="Q1063" s="98"/>
      <c r="R1063" s="98"/>
    </row>
    <row r="1064" spans="1:18" ht="15" customHeight="1">
      <c r="A1064" s="260" t="s">
        <v>134</v>
      </c>
      <c r="B1064" s="260"/>
      <c r="C1064" s="221" t="s">
        <v>36</v>
      </c>
      <c r="D1064" s="40" t="s">
        <v>23</v>
      </c>
      <c r="E1064" s="46">
        <v>1</v>
      </c>
      <c r="G1064" s="102" t="str">
        <f>CONCATENATE(D1064," - ",E1064,", ")</f>
        <v>Brass scrap - 1, </v>
      </c>
      <c r="H1064" s="268"/>
      <c r="I1064" s="98" t="str">
        <f ca="1">IF(J1063&gt;=3,(MID(I1063,2,1)&amp;MID(I1063,4,4)-K1063),CELL("address",Z1064))</f>
        <v>G1065</v>
      </c>
      <c r="J1064" s="98" t="str">
        <f ca="1">IF(J1063&gt;=4,(MID(I1064,1,1)&amp;MID(I1064,2,4)+1),CELL("address",AA1064))</f>
        <v>$AA$1064</v>
      </c>
      <c r="K1064" s="98" t="str">
        <f ca="1">IF(J1063&gt;=5,(MID(J1064,1,1)&amp;MID(J1064,2,4)+1),CELL("address",AB1064))</f>
        <v>$AB$1064</v>
      </c>
      <c r="L1064" s="98" t="str">
        <f ca="1">IF(J1063&gt;=6,(MID(K1064,1,1)&amp;MID(K1064,2,4)+1),CELL("address",AC1064))</f>
        <v>$AC$1064</v>
      </c>
      <c r="M1064" s="98" t="str">
        <f ca="1">IF(J1063&gt;=7,(MID(L1064,1,1)&amp;MID(L1064,2,4)+1),CELL("address",AD1064))</f>
        <v>$AD$1064</v>
      </c>
      <c r="N1064" s="98" t="str">
        <f ca="1">IF(J1063&gt;=8,(MID(M1064,1,1)&amp;MID(M1064,2,4)+1),CELL("address",AE1064))</f>
        <v>$AE$1064</v>
      </c>
      <c r="O1064" s="98" t="str">
        <f ca="1">IF(J1063&gt;=9,(MID(N1064,1,1)&amp;MID(N1064,2,4)+1),CELL("address",AF1064))</f>
        <v>$AF$1064</v>
      </c>
      <c r="P1064" s="98" t="str">
        <f ca="1">IF(J1063&gt;=10,(MID(O1064,1,1)&amp;MID(O1064,2,4)+1),CELL("address",AG1064))</f>
        <v>$AG$1064</v>
      </c>
      <c r="Q1064" s="98" t="str">
        <f ca="1">IF(J1063&gt;=11,(MID(P1064,1,1)&amp;MID(P1064,2,4)+1),CELL("address",AH1064))</f>
        <v>$AH$1064</v>
      </c>
      <c r="R1064" s="98" t="str">
        <f ca="1">IF(J1063&gt;=12,(MID(Q1064,1,1)&amp;MID(Q1064,2,4)+1),CELL("address",AI1064))</f>
        <v>$AI$1064</v>
      </c>
    </row>
    <row r="1065" spans="1:15" ht="15" customHeight="1">
      <c r="A1065" s="285"/>
      <c r="B1065" s="286"/>
      <c r="C1065" s="92"/>
      <c r="D1065" s="92"/>
      <c r="E1065" s="92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</row>
    <row r="1066" spans="1:15" ht="15" customHeight="1">
      <c r="A1066" s="265"/>
      <c r="B1066" s="266"/>
      <c r="C1066" s="66"/>
      <c r="D1066" s="66"/>
      <c r="E1066" s="67">
        <f>SUM(E1068:E1068)</f>
        <v>1</v>
      </c>
      <c r="F1066" s="98"/>
      <c r="G1066" s="98"/>
      <c r="H1066" s="98"/>
      <c r="I1066" s="98" t="str">
        <f ca="1">IF(G1065&gt;=6,(MID(H1066,1,1)&amp;MID(H1066,2,4)+1),CELL("address",Z1066))</f>
        <v>$Z$1066</v>
      </c>
      <c r="J1066" s="98" t="str">
        <f ca="1">IF(G1065&gt;=7,(MID(I1066,1,1)&amp;MID(I1066,2,4)+1),CELL("address",AA1066))</f>
        <v>$AA$1066</v>
      </c>
      <c r="K1066" s="98" t="str">
        <f ca="1">IF(G1065&gt;=8,(MID(J1066,1,1)&amp;MID(J1066,2,4)+1),CELL("address",AB1066))</f>
        <v>$AB$1066</v>
      </c>
      <c r="L1066" s="98" t="str">
        <f ca="1">IF(G1065&gt;=9,(MID(K1066,1,1)&amp;MID(K1066,2,4)+1),CELL("address",AC1066))</f>
        <v>$AC$1066</v>
      </c>
      <c r="M1066" s="98" t="str">
        <f ca="1">IF(G1065&gt;=10,(MID(L1066,1,1)&amp;MID(L1066,2,4)+1),CELL("address",AD1066))</f>
        <v>$AD$1066</v>
      </c>
      <c r="N1066" s="98" t="str">
        <f ca="1">IF(G1065&gt;=11,(MID(M1066,1,1)&amp;MID(M1066,2,4)+1),CELL("address",AE1066))</f>
        <v>$AE$1066</v>
      </c>
      <c r="O1066" s="98" t="str">
        <f ca="1">IF(G1065&gt;=12,(MID(N1066,1,1)&amp;MID(N1066,2,4)+1),CELL("address",AF1066))</f>
        <v>$AF$1066</v>
      </c>
    </row>
    <row r="1067" spans="1:18" ht="15" customHeight="1">
      <c r="A1067" s="260" t="s">
        <v>5</v>
      </c>
      <c r="B1067" s="260"/>
      <c r="C1067" s="64" t="s">
        <v>17</v>
      </c>
      <c r="D1067" s="65" t="s">
        <v>18</v>
      </c>
      <c r="E1067" s="64" t="s">
        <v>7</v>
      </c>
      <c r="G1067" s="174" t="str">
        <f>CONCATENATE("Misc. Healthy parts/ Non Ferrous  Scrap, Lying at ",C1068,". Quantity in MT - ")</f>
        <v>Misc. Healthy parts/ Non Ferrous  Scrap, Lying at TRY Bathinda. Quantity in MT - </v>
      </c>
      <c r="H1067" s="268" t="str">
        <f ca="1">CONCATENATE(G1067,G1068,(INDIRECT(I1068)),(INDIRECT(J1068)),(INDIRECT(K1068)),(INDIRECT(L1068)),(INDIRECT(M1068)),(INDIRECT(N1068)),(INDIRECT(O1068)),(INDIRECT(P1068)),(INDIRECT(Q1068)),(INDIRECT(R1068)),".")</f>
        <v>Misc. Healthy parts/ Non Ferrous  Scrap, Lying at TRY Bathinda. Quantity in MT - Brass scrap - 1, .</v>
      </c>
      <c r="I1067" s="98" t="str">
        <f aca="true" ca="1" t="array" ref="I1067">CELL("address",INDEX(G1067:G1091,MATCH(TRUE,ISBLANK(G1067:G1091),0)))</f>
        <v>$G$1069</v>
      </c>
      <c r="J1067" s="98">
        <f aca="true" t="array" ref="J1067">MATCH(TRUE,ISBLANK(G1067:G1091),0)</f>
        <v>3</v>
      </c>
      <c r="K1067" s="98">
        <f>J1067-3</f>
        <v>0</v>
      </c>
      <c r="L1067" s="98"/>
      <c r="M1067" s="98"/>
      <c r="N1067" s="98"/>
      <c r="O1067" s="98"/>
      <c r="P1067" s="98"/>
      <c r="Q1067" s="98"/>
      <c r="R1067" s="98"/>
    </row>
    <row r="1068" spans="1:18" ht="15" customHeight="1">
      <c r="A1068" s="260" t="s">
        <v>141</v>
      </c>
      <c r="B1068" s="260"/>
      <c r="C1068" s="221" t="s">
        <v>36</v>
      </c>
      <c r="D1068" s="40" t="s">
        <v>23</v>
      </c>
      <c r="E1068" s="46">
        <v>1</v>
      </c>
      <c r="G1068" s="102" t="str">
        <f>CONCATENATE(D1068," - ",E1068,", ")</f>
        <v>Brass scrap - 1, </v>
      </c>
      <c r="H1068" s="268"/>
      <c r="I1068" s="98" t="str">
        <f ca="1">IF(J1067&gt;=3,(MID(I1067,2,1)&amp;MID(I1067,4,4)-K1067),CELL("address",Z1068))</f>
        <v>G1069</v>
      </c>
      <c r="J1068" s="98" t="str">
        <f ca="1">IF(J1067&gt;=4,(MID(I1068,1,1)&amp;MID(I1068,2,4)+1),CELL("address",AA1068))</f>
        <v>$AA$1068</v>
      </c>
      <c r="K1068" s="98" t="str">
        <f ca="1">IF(J1067&gt;=5,(MID(J1068,1,1)&amp;MID(J1068,2,4)+1),CELL("address",AB1068))</f>
        <v>$AB$1068</v>
      </c>
      <c r="L1068" s="98" t="str">
        <f ca="1">IF(J1067&gt;=6,(MID(K1068,1,1)&amp;MID(K1068,2,4)+1),CELL("address",AC1068))</f>
        <v>$AC$1068</v>
      </c>
      <c r="M1068" s="98" t="str">
        <f ca="1">IF(J1067&gt;=7,(MID(L1068,1,1)&amp;MID(L1068,2,4)+1),CELL("address",AD1068))</f>
        <v>$AD$1068</v>
      </c>
      <c r="N1068" s="98" t="str">
        <f ca="1">IF(J1067&gt;=8,(MID(M1068,1,1)&amp;MID(M1068,2,4)+1),CELL("address",AE1068))</f>
        <v>$AE$1068</v>
      </c>
      <c r="O1068" s="98" t="str">
        <f ca="1">IF(J1067&gt;=9,(MID(N1068,1,1)&amp;MID(N1068,2,4)+1),CELL("address",AF1068))</f>
        <v>$AF$1068</v>
      </c>
      <c r="P1068" s="98" t="str">
        <f ca="1">IF(J1067&gt;=10,(MID(O1068,1,1)&amp;MID(O1068,2,4)+1),CELL("address",AG1068))</f>
        <v>$AG$1068</v>
      </c>
      <c r="Q1068" s="98" t="str">
        <f ca="1">IF(J1067&gt;=11,(MID(P1068,1,1)&amp;MID(P1068,2,4)+1),CELL("address",AH1068))</f>
        <v>$AH$1068</v>
      </c>
      <c r="R1068" s="98" t="str">
        <f ca="1">IF(J1067&gt;=12,(MID(Q1068,1,1)&amp;MID(Q1068,2,4)+1),CELL("address",AI1068))</f>
        <v>$AI$1068</v>
      </c>
    </row>
    <row r="1069" spans="1:15" ht="15" customHeight="1">
      <c r="A1069" s="285"/>
      <c r="B1069" s="286"/>
      <c r="C1069" s="92"/>
      <c r="D1069" s="92"/>
      <c r="E1069" s="92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</row>
    <row r="1070" spans="1:15" ht="15" customHeight="1">
      <c r="A1070" s="265"/>
      <c r="B1070" s="266"/>
      <c r="C1070" s="66"/>
      <c r="D1070" s="66"/>
      <c r="E1070" s="67">
        <f>SUM(E1072:E1072)</f>
        <v>1</v>
      </c>
      <c r="F1070" s="98"/>
      <c r="G1070" s="98"/>
      <c r="H1070" s="98"/>
      <c r="I1070" s="98" t="str">
        <f ca="1">IF(G1069&gt;=6,(MID(H1070,1,1)&amp;MID(H1070,2,4)+1),CELL("address",Z1070))</f>
        <v>$Z$1070</v>
      </c>
      <c r="J1070" s="98" t="str">
        <f ca="1">IF(G1069&gt;=7,(MID(I1070,1,1)&amp;MID(I1070,2,4)+1),CELL("address",AA1070))</f>
        <v>$AA$1070</v>
      </c>
      <c r="K1070" s="98" t="str">
        <f ca="1">IF(G1069&gt;=8,(MID(J1070,1,1)&amp;MID(J1070,2,4)+1),CELL("address",AB1070))</f>
        <v>$AB$1070</v>
      </c>
      <c r="L1070" s="98" t="str">
        <f ca="1">IF(G1069&gt;=9,(MID(K1070,1,1)&amp;MID(K1070,2,4)+1),CELL("address",AC1070))</f>
        <v>$AC$1070</v>
      </c>
      <c r="M1070" s="98" t="str">
        <f ca="1">IF(G1069&gt;=10,(MID(L1070,1,1)&amp;MID(L1070,2,4)+1),CELL("address",AD1070))</f>
        <v>$AD$1070</v>
      </c>
      <c r="N1070" s="98" t="str">
        <f ca="1">IF(G1069&gt;=11,(MID(M1070,1,1)&amp;MID(M1070,2,4)+1),CELL("address",AE1070))</f>
        <v>$AE$1070</v>
      </c>
      <c r="O1070" s="98" t="str">
        <f ca="1">IF(G1069&gt;=12,(MID(N1070,1,1)&amp;MID(N1070,2,4)+1),CELL("address",AF1070))</f>
        <v>$AF$1070</v>
      </c>
    </row>
    <row r="1071" spans="1:18" ht="15" customHeight="1">
      <c r="A1071" s="260" t="s">
        <v>5</v>
      </c>
      <c r="B1071" s="260"/>
      <c r="C1071" s="64" t="s">
        <v>17</v>
      </c>
      <c r="D1071" s="65" t="s">
        <v>18</v>
      </c>
      <c r="E1071" s="64" t="s">
        <v>7</v>
      </c>
      <c r="G1071" s="174" t="str">
        <f>CONCATENATE("Misc. Healthy parts/ Non Ferrous  Scrap, Lying at ",C1072,". Quantity in MT - ")</f>
        <v>Misc. Healthy parts/ Non Ferrous  Scrap, Lying at TRY Bathinda. Quantity in MT - </v>
      </c>
      <c r="H1071" s="268" t="str">
        <f ca="1">CONCATENATE(G1071,G1072,(INDIRECT(I1072)),(INDIRECT(J1072)),(INDIRECT(K1072)),(INDIRECT(L1072)),(INDIRECT(M1072)),(INDIRECT(N1072)),(INDIRECT(O1072)),(INDIRECT(P1072)),(INDIRECT(Q1072)),(INDIRECT(R1072)),".")</f>
        <v>Misc. Healthy parts/ Non Ferrous  Scrap, Lying at TRY Bathinda. Quantity in MT - Brass scrap - 1, .</v>
      </c>
      <c r="I1071" s="98" t="str">
        <f aca="true" ca="1" t="array" ref="I1071">CELL("address",INDEX(G1071:G1095,MATCH(TRUE,ISBLANK(G1071:G1095),0)))</f>
        <v>$G$1073</v>
      </c>
      <c r="J1071" s="98">
        <f aca="true" t="array" ref="J1071">MATCH(TRUE,ISBLANK(G1071:G1095),0)</f>
        <v>3</v>
      </c>
      <c r="K1071" s="98">
        <f>J1071-3</f>
        <v>0</v>
      </c>
      <c r="L1071" s="98"/>
      <c r="M1071" s="98"/>
      <c r="N1071" s="98"/>
      <c r="O1071" s="98"/>
      <c r="P1071" s="98"/>
      <c r="Q1071" s="98"/>
      <c r="R1071" s="98"/>
    </row>
    <row r="1072" spans="1:18" ht="15" customHeight="1">
      <c r="A1072" s="260" t="s">
        <v>196</v>
      </c>
      <c r="B1072" s="260"/>
      <c r="C1072" s="221" t="s">
        <v>36</v>
      </c>
      <c r="D1072" s="40" t="s">
        <v>23</v>
      </c>
      <c r="E1072" s="46">
        <v>1</v>
      </c>
      <c r="G1072" s="102" t="str">
        <f>CONCATENATE(D1072," - ",E1072,", ")</f>
        <v>Brass scrap - 1, </v>
      </c>
      <c r="H1072" s="268"/>
      <c r="I1072" s="98" t="str">
        <f ca="1">IF(J1071&gt;=3,(MID(I1071,2,1)&amp;MID(I1071,4,4)-K1071),CELL("address",Z1072))</f>
        <v>G1073</v>
      </c>
      <c r="J1072" s="98" t="str">
        <f ca="1">IF(J1071&gt;=4,(MID(I1072,1,1)&amp;MID(I1072,2,4)+1),CELL("address",AA1072))</f>
        <v>$AA$1072</v>
      </c>
      <c r="K1072" s="98" t="str">
        <f ca="1">IF(J1071&gt;=5,(MID(J1072,1,1)&amp;MID(J1072,2,4)+1),CELL("address",AB1072))</f>
        <v>$AB$1072</v>
      </c>
      <c r="L1072" s="98" t="str">
        <f ca="1">IF(J1071&gt;=6,(MID(K1072,1,1)&amp;MID(K1072,2,4)+1),CELL("address",AC1072))</f>
        <v>$AC$1072</v>
      </c>
      <c r="M1072" s="98" t="str">
        <f ca="1">IF(J1071&gt;=7,(MID(L1072,1,1)&amp;MID(L1072,2,4)+1),CELL("address",AD1072))</f>
        <v>$AD$1072</v>
      </c>
      <c r="N1072" s="98" t="str">
        <f ca="1">IF(J1071&gt;=8,(MID(M1072,1,1)&amp;MID(M1072,2,4)+1),CELL("address",AE1072))</f>
        <v>$AE$1072</v>
      </c>
      <c r="O1072" s="98" t="str">
        <f ca="1">IF(J1071&gt;=9,(MID(N1072,1,1)&amp;MID(N1072,2,4)+1),CELL("address",AF1072))</f>
        <v>$AF$1072</v>
      </c>
      <c r="P1072" s="98" t="str">
        <f ca="1">IF(J1071&gt;=10,(MID(O1072,1,1)&amp;MID(O1072,2,4)+1),CELL("address",AG1072))</f>
        <v>$AG$1072</v>
      </c>
      <c r="Q1072" s="98" t="str">
        <f ca="1">IF(J1071&gt;=11,(MID(P1072,1,1)&amp;MID(P1072,2,4)+1),CELL("address",AH1072))</f>
        <v>$AH$1072</v>
      </c>
      <c r="R1072" s="98" t="str">
        <f ca="1">IF(J1071&gt;=12,(MID(Q1072,1,1)&amp;MID(Q1072,2,4)+1),CELL("address",AI1072))</f>
        <v>$AI$1072</v>
      </c>
    </row>
    <row r="1073" spans="1:15" ht="15" customHeight="1">
      <c r="A1073" s="285"/>
      <c r="B1073" s="286"/>
      <c r="C1073" s="92"/>
      <c r="D1073" s="92"/>
      <c r="E1073" s="92"/>
      <c r="F1073" s="98"/>
      <c r="G1073" s="98"/>
      <c r="H1073" s="98"/>
      <c r="I1073" s="98"/>
      <c r="J1073" s="98"/>
      <c r="K1073" s="98"/>
      <c r="L1073" s="98"/>
      <c r="M1073" s="98"/>
      <c r="N1073" s="98"/>
      <c r="O1073" s="98"/>
    </row>
    <row r="1074" spans="1:15" ht="15" customHeight="1">
      <c r="A1074" s="265"/>
      <c r="B1074" s="266"/>
      <c r="C1074" s="66"/>
      <c r="D1074" s="66"/>
      <c r="E1074" s="67">
        <f>SUM(E1076:E1076)</f>
        <v>1</v>
      </c>
      <c r="F1074" s="98"/>
      <c r="G1074" s="98"/>
      <c r="H1074" s="98"/>
      <c r="I1074" s="98" t="str">
        <f ca="1">IF(G1073&gt;=6,(MID(H1074,1,1)&amp;MID(H1074,2,4)+1),CELL("address",Z1074))</f>
        <v>$Z$1074</v>
      </c>
      <c r="J1074" s="98" t="str">
        <f ca="1">IF(G1073&gt;=7,(MID(I1074,1,1)&amp;MID(I1074,2,4)+1),CELL("address",AA1074))</f>
        <v>$AA$1074</v>
      </c>
      <c r="K1074" s="98" t="str">
        <f ca="1">IF(G1073&gt;=8,(MID(J1074,1,1)&amp;MID(J1074,2,4)+1),CELL("address",AB1074))</f>
        <v>$AB$1074</v>
      </c>
      <c r="L1074" s="98" t="str">
        <f ca="1">IF(G1073&gt;=9,(MID(K1074,1,1)&amp;MID(K1074,2,4)+1),CELL("address",AC1074))</f>
        <v>$AC$1074</v>
      </c>
      <c r="M1074" s="98" t="str">
        <f ca="1">IF(G1073&gt;=10,(MID(L1074,1,1)&amp;MID(L1074,2,4)+1),CELL("address",AD1074))</f>
        <v>$AD$1074</v>
      </c>
      <c r="N1074" s="98" t="str">
        <f ca="1">IF(G1073&gt;=11,(MID(M1074,1,1)&amp;MID(M1074,2,4)+1),CELL("address",AE1074))</f>
        <v>$AE$1074</v>
      </c>
      <c r="O1074" s="98" t="str">
        <f ca="1">IF(G1073&gt;=12,(MID(N1074,1,1)&amp;MID(N1074,2,4)+1),CELL("address",AF1074))</f>
        <v>$AF$1074</v>
      </c>
    </row>
    <row r="1075" spans="1:18" ht="15" customHeight="1">
      <c r="A1075" s="260" t="s">
        <v>5</v>
      </c>
      <c r="B1075" s="260"/>
      <c r="C1075" s="64" t="s">
        <v>17</v>
      </c>
      <c r="D1075" s="65" t="s">
        <v>18</v>
      </c>
      <c r="E1075" s="64" t="s">
        <v>7</v>
      </c>
      <c r="G1075" s="174" t="str">
        <f>CONCATENATE("Misc. Healthy parts/ Non Ferrous  Scrap, Lying at ",C1076,". Quantity in MT - ")</f>
        <v>Misc. Healthy parts/ Non Ferrous  Scrap, Lying at TRY Bathinda. Quantity in MT - </v>
      </c>
      <c r="H1075" s="268" t="str">
        <f ca="1">CONCATENATE(G1075,G1076,(INDIRECT(I1076)),(INDIRECT(J1076)),(INDIRECT(K1076)),(INDIRECT(L1076)),(INDIRECT(M1076)),(INDIRECT(N1076)),(INDIRECT(O1076)),(INDIRECT(P1076)),(INDIRECT(Q1076)),(INDIRECT(R1076)),".")</f>
        <v>Misc. Healthy parts/ Non Ferrous  Scrap, Lying at TRY Bathinda. Quantity in MT - Brass scrap - 1, .</v>
      </c>
      <c r="I1075" s="98" t="str">
        <f aca="true" ca="1" t="array" ref="I1075">CELL("address",INDEX(G1075:G1099,MATCH(TRUE,ISBLANK(G1075:G1099),0)))</f>
        <v>$G$1077</v>
      </c>
      <c r="J1075" s="98">
        <f aca="true" t="array" ref="J1075">MATCH(TRUE,ISBLANK(G1075:G1099),0)</f>
        <v>3</v>
      </c>
      <c r="K1075" s="98">
        <f>J1075-3</f>
        <v>0</v>
      </c>
      <c r="L1075" s="98"/>
      <c r="M1075" s="98"/>
      <c r="N1075" s="98"/>
      <c r="O1075" s="98"/>
      <c r="P1075" s="98"/>
      <c r="Q1075" s="98"/>
      <c r="R1075" s="98"/>
    </row>
    <row r="1076" spans="1:18" ht="15" customHeight="1">
      <c r="A1076" s="260" t="s">
        <v>203</v>
      </c>
      <c r="B1076" s="260"/>
      <c r="C1076" s="221" t="s">
        <v>36</v>
      </c>
      <c r="D1076" s="40" t="s">
        <v>23</v>
      </c>
      <c r="E1076" s="46">
        <v>1</v>
      </c>
      <c r="G1076" s="102" t="str">
        <f>CONCATENATE(D1076," - ",E1076,", ")</f>
        <v>Brass scrap - 1, </v>
      </c>
      <c r="H1076" s="268"/>
      <c r="I1076" s="98" t="str">
        <f ca="1">IF(J1075&gt;=3,(MID(I1075,2,1)&amp;MID(I1075,4,4)-K1075),CELL("address",Z1076))</f>
        <v>G1077</v>
      </c>
      <c r="J1076" s="98" t="str">
        <f ca="1">IF(J1075&gt;=4,(MID(I1076,1,1)&amp;MID(I1076,2,4)+1),CELL("address",AA1076))</f>
        <v>$AA$1076</v>
      </c>
      <c r="K1076" s="98" t="str">
        <f ca="1">IF(J1075&gt;=5,(MID(J1076,1,1)&amp;MID(J1076,2,4)+1),CELL("address",AB1076))</f>
        <v>$AB$1076</v>
      </c>
      <c r="L1076" s="98" t="str">
        <f ca="1">IF(J1075&gt;=6,(MID(K1076,1,1)&amp;MID(K1076,2,4)+1),CELL("address",AC1076))</f>
        <v>$AC$1076</v>
      </c>
      <c r="M1076" s="98" t="str">
        <f ca="1">IF(J1075&gt;=7,(MID(L1076,1,1)&amp;MID(L1076,2,4)+1),CELL("address",AD1076))</f>
        <v>$AD$1076</v>
      </c>
      <c r="N1076" s="98" t="str">
        <f ca="1">IF(J1075&gt;=8,(MID(M1076,1,1)&amp;MID(M1076,2,4)+1),CELL("address",AE1076))</f>
        <v>$AE$1076</v>
      </c>
      <c r="O1076" s="98" t="str">
        <f ca="1">IF(J1075&gt;=9,(MID(N1076,1,1)&amp;MID(N1076,2,4)+1),CELL("address",AF1076))</f>
        <v>$AF$1076</v>
      </c>
      <c r="P1076" s="98" t="str">
        <f ca="1">IF(J1075&gt;=10,(MID(O1076,1,1)&amp;MID(O1076,2,4)+1),CELL("address",AG1076))</f>
        <v>$AG$1076</v>
      </c>
      <c r="Q1076" s="98" t="str">
        <f ca="1">IF(J1075&gt;=11,(MID(P1076,1,1)&amp;MID(P1076,2,4)+1),CELL("address",AH1076))</f>
        <v>$AH$1076</v>
      </c>
      <c r="R1076" s="98" t="str">
        <f ca="1">IF(J1075&gt;=12,(MID(Q1076,1,1)&amp;MID(Q1076,2,4)+1),CELL("address",AI1076))</f>
        <v>$AI$1076</v>
      </c>
    </row>
    <row r="1077" spans="1:8" ht="15" customHeight="1">
      <c r="A1077" s="51"/>
      <c r="B1077" s="54"/>
      <c r="C1077" s="19"/>
      <c r="D1077" s="54"/>
      <c r="E1077" s="96"/>
      <c r="H1077" s="1"/>
    </row>
    <row r="1078" spans="1:8" ht="15" customHeight="1">
      <c r="A1078" s="265"/>
      <c r="B1078" s="266"/>
      <c r="C1078" s="66"/>
      <c r="D1078" s="66"/>
      <c r="E1078" s="67">
        <f>SUM(E1080:E1084)</f>
        <v>3.617</v>
      </c>
      <c r="H1078" s="1"/>
    </row>
    <row r="1079" spans="1:18" ht="15" customHeight="1">
      <c r="A1079" s="260" t="s">
        <v>5</v>
      </c>
      <c r="B1079" s="260"/>
      <c r="C1079" s="64" t="s">
        <v>17</v>
      </c>
      <c r="D1079" s="65" t="s">
        <v>18</v>
      </c>
      <c r="E1079" s="64" t="s">
        <v>7</v>
      </c>
      <c r="F1079" s="98"/>
      <c r="G1079" s="174" t="str">
        <f>CONCATENATE("Misc. Healthy parts/ Non Ferrous  Scrap, Lying at ",C1080,". Quantity in MT - ")</f>
        <v>Misc. Healthy parts/ Non Ferrous  Scrap, Lying at TRY Kotkapura. Quantity in MT - </v>
      </c>
      <c r="H1079" s="268" t="str">
        <f ca="1">CONCATENATE(G1079,G1080,(INDIRECT(I1080)),(INDIRECT(J1080)),(INDIRECT(K1080)),(INDIRECT(L1080)),(INDIRECT(M1080)),(INDIRECT(N1080)),(INDIRECT(O1080)),(INDIRECT(P1080)),(INDIRECT(Q1080)),(INDIRECT(R1080)),".")</f>
        <v>Misc. Healthy parts/ Non Ferrous  Scrap, Lying at TRY Kotkapura. Quantity in MT - Brass scrap - 2.059, Misc. Alumn. Scrap - 0.324, Iron scrap - 0.128, Burnt Cu scrap - 0.052, Nuts &amp; Bolts scrap - 1.054, .</v>
      </c>
      <c r="I1079" s="98" t="str">
        <f aca="true" ca="1" t="array" ref="I1079">CELL("address",INDEX(G1079:G1103,MATCH(TRUE,ISBLANK(G1079:G1103),0)))</f>
        <v>$G$1085</v>
      </c>
      <c r="J1079" s="98">
        <f aca="true" t="array" ref="J1079">MATCH(TRUE,ISBLANK(G1079:G1103),0)</f>
        <v>7</v>
      </c>
      <c r="K1079" s="98">
        <f>J1079-3</f>
        <v>4</v>
      </c>
      <c r="L1079" s="98"/>
      <c r="M1079" s="98"/>
      <c r="N1079" s="98"/>
      <c r="O1079" s="98"/>
      <c r="P1079" s="98"/>
      <c r="Q1079" s="98"/>
      <c r="R1079" s="98"/>
    </row>
    <row r="1080" spans="1:18" ht="15" customHeight="1">
      <c r="A1080" s="260" t="s">
        <v>210</v>
      </c>
      <c r="B1080" s="260"/>
      <c r="C1080" s="261" t="s">
        <v>247</v>
      </c>
      <c r="D1080" s="45" t="s">
        <v>23</v>
      </c>
      <c r="E1080" s="47">
        <v>2.059</v>
      </c>
      <c r="F1080" s="98"/>
      <c r="G1080" s="102" t="str">
        <f>CONCATENATE(D1080," - ",E1080,", ")</f>
        <v>Brass scrap - 2.059, </v>
      </c>
      <c r="H1080" s="268"/>
      <c r="I1080" s="98" t="str">
        <f ca="1">IF(J1079&gt;=3,(MID(I1079,2,1)&amp;MID(I1079,4,4)-K1079),CELL("address",Z1080))</f>
        <v>G1081</v>
      </c>
      <c r="J1080" s="98" t="str">
        <f ca="1">IF(J1079&gt;=4,(MID(I1080,1,1)&amp;MID(I1080,2,4)+1),CELL("address",AA1080))</f>
        <v>G1082</v>
      </c>
      <c r="K1080" s="98" t="str">
        <f ca="1">IF(J1079&gt;=5,(MID(J1080,1,1)&amp;MID(J1080,2,4)+1),CELL("address",AB1080))</f>
        <v>G1083</v>
      </c>
      <c r="L1080" s="98" t="str">
        <f ca="1">IF(J1079&gt;=6,(MID(K1080,1,1)&amp;MID(K1080,2,4)+1),CELL("address",AC1080))</f>
        <v>G1084</v>
      </c>
      <c r="M1080" s="98" t="str">
        <f ca="1">IF(J1079&gt;=7,(MID(L1080,1,1)&amp;MID(L1080,2,4)+1),CELL("address",AD1080))</f>
        <v>G1085</v>
      </c>
      <c r="N1080" s="98" t="str">
        <f ca="1">IF(J1079&gt;=8,(MID(M1080,1,1)&amp;MID(M1080,2,4)+1),CELL("address",AE1080))</f>
        <v>$AE$1080</v>
      </c>
      <c r="O1080" s="98" t="str">
        <f ca="1">IF(J1079&gt;=9,(MID(N1080,1,1)&amp;MID(N1080,2,4)+1),CELL("address",AF1080))</f>
        <v>$AF$1080</v>
      </c>
      <c r="P1080" s="98" t="str">
        <f ca="1">IF(J1079&gt;=10,(MID(O1080,1,1)&amp;MID(O1080,2,4)+1),CELL("address",AG1080))</f>
        <v>$AG$1080</v>
      </c>
      <c r="Q1080" s="98" t="str">
        <f ca="1">IF(J1079&gt;=11,(MID(P1080,1,1)&amp;MID(P1080,2,4)+1),CELL("address",AH1080))</f>
        <v>$AH$1080</v>
      </c>
      <c r="R1080" s="98" t="str">
        <f ca="1">IF(J1079&gt;=12,(MID(Q1080,1,1)&amp;MID(Q1080,2,4)+1),CELL("address",AI1080))</f>
        <v>$AI$1080</v>
      </c>
    </row>
    <row r="1081" spans="1:8" ht="15" customHeight="1">
      <c r="A1081" s="260"/>
      <c r="B1081" s="260"/>
      <c r="C1081" s="261"/>
      <c r="D1081" s="45" t="s">
        <v>31</v>
      </c>
      <c r="E1081" s="64">
        <v>0.324</v>
      </c>
      <c r="G1081" s="102" t="str">
        <f>CONCATENATE(D1081," - ",E1081,", ")</f>
        <v>Misc. Alumn. Scrap - 0.324, </v>
      </c>
      <c r="H1081" s="1"/>
    </row>
    <row r="1082" spans="1:8" ht="15" customHeight="1">
      <c r="A1082" s="260"/>
      <c r="B1082" s="260"/>
      <c r="C1082" s="261"/>
      <c r="D1082" s="40" t="s">
        <v>27</v>
      </c>
      <c r="E1082" s="64">
        <v>0.128</v>
      </c>
      <c r="G1082" s="102" t="str">
        <f>CONCATENATE(D1082," - ",E1082,", ")</f>
        <v>Iron scrap - 0.128, </v>
      </c>
      <c r="H1082" s="1"/>
    </row>
    <row r="1083" spans="1:8" ht="15" customHeight="1">
      <c r="A1083" s="260"/>
      <c r="B1083" s="260"/>
      <c r="C1083" s="261"/>
      <c r="D1083" s="40" t="s">
        <v>37</v>
      </c>
      <c r="E1083" s="64">
        <v>0.052</v>
      </c>
      <c r="G1083" s="102" t="str">
        <f>CONCATENATE(D1083," - ",E1083,", ")</f>
        <v>Burnt Cu scrap - 0.052, </v>
      </c>
      <c r="H1083" s="1"/>
    </row>
    <row r="1084" spans="1:8" ht="15" customHeight="1">
      <c r="A1084" s="260"/>
      <c r="B1084" s="260"/>
      <c r="C1084" s="261"/>
      <c r="D1084" s="40" t="s">
        <v>58</v>
      </c>
      <c r="E1084" s="64">
        <v>1.054</v>
      </c>
      <c r="G1084" s="102" t="str">
        <f>CONCATENATE(D1084," - ",E1084,", ")</f>
        <v>Nuts &amp; Bolts scrap - 1.054, </v>
      </c>
      <c r="H1084" s="1"/>
    </row>
    <row r="1085" spans="1:8" ht="15" customHeight="1">
      <c r="A1085" s="262"/>
      <c r="B1085" s="263"/>
      <c r="C1085" s="221"/>
      <c r="D1085" s="229"/>
      <c r="E1085" s="104"/>
      <c r="H1085" s="1"/>
    </row>
    <row r="1086" spans="1:8" ht="15" customHeight="1">
      <c r="A1086" s="265"/>
      <c r="B1086" s="266"/>
      <c r="C1086" s="66"/>
      <c r="D1086" s="66"/>
      <c r="E1086" s="67">
        <f>SUM(E1088:E1091)</f>
        <v>1.557</v>
      </c>
      <c r="H1086" s="1"/>
    </row>
    <row r="1087" spans="1:18" ht="15" customHeight="1">
      <c r="A1087" s="262" t="s">
        <v>5</v>
      </c>
      <c r="B1087" s="263"/>
      <c r="C1087" s="64" t="s">
        <v>17</v>
      </c>
      <c r="D1087" s="65" t="s">
        <v>18</v>
      </c>
      <c r="E1087" s="64" t="s">
        <v>7</v>
      </c>
      <c r="G1087" s="174" t="str">
        <f>CONCATENATE("Misc. Healthy parts/ Non Ferrous  Scrap, Lying at ",C1088,". Quantity in MT - ")</f>
        <v>Misc. Healthy parts/ Non Ferrous  Scrap, Lying at TRY Mansa. Quantity in MT - </v>
      </c>
      <c r="H1087" s="268" t="str">
        <f ca="1">CONCATENATE(G1087,G1088,(INDIRECT(I1088)),(INDIRECT(J1088)),(INDIRECT(K1088)),(INDIRECT(L1088)),(INDIRECT(M1088)),(INDIRECT(N1088)),(INDIRECT(O1088)),(INDIRECT(P1088)),(INDIRECT(Q1088)),(INDIRECT(R1088)),".")</f>
        <v>Misc. Healthy parts/ Non Ferrous  Scrap, Lying at TRY Mansa. Quantity in MT - Brass scrap - 1.302, Misc. Aluminium scrap - 0.147, Burnt Cu scrap - 0.027,  Iron scrap - 0.081, .</v>
      </c>
      <c r="I1087" s="98" t="str">
        <f aca="true" ca="1" t="array" ref="I1087">CELL("address",INDEX(G1087:G1109,MATCH(TRUE,ISBLANK(G1087:G1109),0)))</f>
        <v>$G$1092</v>
      </c>
      <c r="J1087" s="98">
        <f aca="true" t="array" ref="J1087">MATCH(TRUE,ISBLANK(G1087:G1109),0)</f>
        <v>6</v>
      </c>
      <c r="K1087" s="98">
        <f>J1087-3</f>
        <v>3</v>
      </c>
      <c r="L1087" s="98"/>
      <c r="M1087" s="98"/>
      <c r="N1087" s="98"/>
      <c r="O1087" s="98"/>
      <c r="P1087" s="98"/>
      <c r="Q1087" s="98"/>
      <c r="R1087" s="98"/>
    </row>
    <row r="1088" spans="1:18" ht="15" customHeight="1">
      <c r="A1088" s="260" t="s">
        <v>234</v>
      </c>
      <c r="B1088" s="260"/>
      <c r="C1088" s="261" t="s">
        <v>166</v>
      </c>
      <c r="D1088" s="40" t="s">
        <v>23</v>
      </c>
      <c r="E1088" s="46">
        <v>1.302</v>
      </c>
      <c r="F1088" s="98"/>
      <c r="G1088" s="102" t="str">
        <f>CONCATENATE(D1088," - ",E1088,", ")</f>
        <v>Brass scrap - 1.302, </v>
      </c>
      <c r="H1088" s="268"/>
      <c r="I1088" s="98" t="str">
        <f ca="1">IF(J1087&gt;=3,(MID(I1087,2,1)&amp;MID(I1087,4,4)-K1087),CELL("address",Z1088))</f>
        <v>G1089</v>
      </c>
      <c r="J1088" s="98" t="str">
        <f ca="1">IF(J1087&gt;=4,(MID(I1088,1,1)&amp;MID(I1088,2,4)+1),CELL("address",AA1088))</f>
        <v>G1090</v>
      </c>
      <c r="K1088" s="98" t="str">
        <f ca="1">IF(J1087&gt;=5,(MID(J1088,1,1)&amp;MID(J1088,2,4)+1),CELL("address",AB1088))</f>
        <v>G1091</v>
      </c>
      <c r="L1088" s="98" t="str">
        <f ca="1">IF(J1087&gt;=6,(MID(K1088,1,1)&amp;MID(K1088,2,4)+1),CELL("address",AC1088))</f>
        <v>G1092</v>
      </c>
      <c r="M1088" s="98" t="str">
        <f ca="1">IF(J1087&gt;=7,(MID(L1088,1,1)&amp;MID(L1088,2,4)+1),CELL("address",AD1088))</f>
        <v>$AD$1088</v>
      </c>
      <c r="N1088" s="98" t="str">
        <f ca="1">IF(J1087&gt;=8,(MID(M1088,1,1)&amp;MID(M1088,2,4)+1),CELL("address",AE1088))</f>
        <v>$AE$1088</v>
      </c>
      <c r="O1088" s="98" t="str">
        <f ca="1">IF(J1087&gt;=9,(MID(N1088,1,1)&amp;MID(N1088,2,4)+1),CELL("address",AF1088))</f>
        <v>$AF$1088</v>
      </c>
      <c r="P1088" s="98" t="str">
        <f ca="1">IF(J1087&gt;=10,(MID(O1088,1,1)&amp;MID(O1088,2,4)+1),CELL("address",AG1088))</f>
        <v>$AG$1088</v>
      </c>
      <c r="Q1088" s="98" t="str">
        <f ca="1">IF(J1087&gt;=11,(MID(P1088,1,1)&amp;MID(P1088,2,4)+1),CELL("address",AH1088))</f>
        <v>$AH$1088</v>
      </c>
      <c r="R1088" s="98" t="str">
        <f ca="1">IF(J1087&gt;=12,(MID(Q1088,1,1)&amp;MID(Q1088,2,4)+1),CELL("address",AI1088))</f>
        <v>$AI$1088</v>
      </c>
    </row>
    <row r="1089" spans="1:15" ht="15" customHeight="1">
      <c r="A1089" s="260"/>
      <c r="B1089" s="260"/>
      <c r="C1089" s="261"/>
      <c r="D1089" s="40" t="s">
        <v>24</v>
      </c>
      <c r="E1089" s="46">
        <v>0.147</v>
      </c>
      <c r="F1089" s="98"/>
      <c r="G1089" s="102" t="str">
        <f>CONCATENATE(D1089," - ",E1089,", ")</f>
        <v>Misc. Aluminium scrap - 0.147, </v>
      </c>
      <c r="H1089" s="98"/>
      <c r="I1089" s="98" t="e">
        <f ca="1">IF(G1088&gt;=6,(MID(H1089,1,1)&amp;MID(H1089,2,4)+1),CELL("address",Z1089))</f>
        <v>#VALUE!</v>
      </c>
      <c r="J1089" s="98" t="e">
        <f ca="1">IF(G1088&gt;=7,(MID(I1089,1,1)&amp;MID(I1089,2,4)+1),CELL("address",AA1089))</f>
        <v>#VALUE!</v>
      </c>
      <c r="K1089" s="98" t="e">
        <f ca="1">IF(G1088&gt;=8,(MID(J1089,1,1)&amp;MID(J1089,2,4)+1),CELL("address",AB1089))</f>
        <v>#VALUE!</v>
      </c>
      <c r="L1089" s="98" t="e">
        <f ca="1">IF(G1088&gt;=9,(MID(K1089,1,1)&amp;MID(K1089,2,4)+1),CELL("address",AC1089))</f>
        <v>#VALUE!</v>
      </c>
      <c r="M1089" s="98" t="e">
        <f ca="1">IF(G1088&gt;=10,(MID(L1089,1,1)&amp;MID(L1089,2,4)+1),CELL("address",AD1089))</f>
        <v>#VALUE!</v>
      </c>
      <c r="N1089" s="98" t="e">
        <f ca="1">IF(G1088&gt;=11,(MID(M1089,1,1)&amp;MID(M1089,2,4)+1),CELL("address",AE1089))</f>
        <v>#VALUE!</v>
      </c>
      <c r="O1089" s="98" t="e">
        <f ca="1">IF(G1088&gt;=12,(MID(N1089,1,1)&amp;MID(N1089,2,4)+1),CELL("address",AF1089))</f>
        <v>#VALUE!</v>
      </c>
    </row>
    <row r="1090" spans="1:8" ht="15" customHeight="1">
      <c r="A1090" s="260"/>
      <c r="B1090" s="260"/>
      <c r="C1090" s="261"/>
      <c r="D1090" s="40" t="s">
        <v>37</v>
      </c>
      <c r="E1090" s="46">
        <v>0.027</v>
      </c>
      <c r="G1090" s="102" t="str">
        <f>CONCATENATE(D1090," - ",E1090,", ")</f>
        <v>Burnt Cu scrap - 0.027, </v>
      </c>
      <c r="H1090" s="1"/>
    </row>
    <row r="1091" spans="1:8" ht="15" customHeight="1">
      <c r="A1091" s="260"/>
      <c r="B1091" s="260"/>
      <c r="C1091" s="261"/>
      <c r="D1091" s="45" t="s">
        <v>75</v>
      </c>
      <c r="E1091" s="46">
        <v>0.081</v>
      </c>
      <c r="G1091" s="102" t="str">
        <f>CONCATENATE(D1091," - ",E1091,", ")</f>
        <v> Iron scrap - 0.081, </v>
      </c>
      <c r="H1091" s="1"/>
    </row>
    <row r="1092" spans="1:8" ht="15" customHeight="1">
      <c r="A1092" s="35"/>
      <c r="B1092" s="1"/>
      <c r="C1092" s="1"/>
      <c r="D1092" s="1"/>
      <c r="E1092" s="1"/>
      <c r="H1092" s="1"/>
    </row>
    <row r="1093" spans="1:8" ht="15" customHeight="1">
      <c r="A1093" s="265"/>
      <c r="B1093" s="266"/>
      <c r="C1093" s="66"/>
      <c r="D1093" s="66"/>
      <c r="E1093" s="67">
        <f>SUM(E1095:E1099)</f>
        <v>2.086</v>
      </c>
      <c r="H1093" s="1"/>
    </row>
    <row r="1094" spans="1:18" ht="15" customHeight="1">
      <c r="A1094" s="262" t="s">
        <v>5</v>
      </c>
      <c r="B1094" s="263"/>
      <c r="C1094" s="64" t="s">
        <v>17</v>
      </c>
      <c r="D1094" s="65" t="s">
        <v>18</v>
      </c>
      <c r="E1094" s="64" t="s">
        <v>7</v>
      </c>
      <c r="G1094" s="174" t="str">
        <f>CONCATENATE("Misc. Healthy parts/ Non Ferrous  Scrap, Lying at ",C1095,". Quantity in MT - ")</f>
        <v>Misc. Healthy parts/ Non Ferrous  Scrap, Lying at TRY Bhagta Bhai Ka. Quantity in MT - </v>
      </c>
      <c r="H1094" s="268" t="str">
        <f ca="1">CONCATENATE(G1094,G1095,(INDIRECT(I1095)),(INDIRECT(J1095)),(INDIRECT(K1095)),(INDIRECT(L1095)),(INDIRECT(M1095)),(INDIRECT(N1095)),(INDIRECT(O1095)),(INDIRECT(P1095)),(INDIRECT(Q1095)),(INDIRECT(R1095)),".")</f>
        <v>Misc. Healthy parts/ Non Ferrous  Scrap, Lying at TRY Bhagta Bhai Ka. Quantity in MT - Brass scrap - 1.22, Misc. Aluminium scrap - 0.151, Burnt Cu scrap - 0.037,  Iron scrap - 0.088, Nuts &amp; Bolts scrap - 0.59, .</v>
      </c>
      <c r="I1094" s="98" t="str">
        <f aca="true" ca="1" t="array" ref="I1094">CELL("address",INDEX(G1094:G1118,MATCH(TRUE,ISBLANK(G1094:G1118),0)))</f>
        <v>$G$1100</v>
      </c>
      <c r="J1094" s="98">
        <f aca="true" t="array" ref="J1094">MATCH(TRUE,ISBLANK(G1094:G1118),0)</f>
        <v>7</v>
      </c>
      <c r="K1094" s="98">
        <f>J1094-3</f>
        <v>4</v>
      </c>
      <c r="L1094" s="98"/>
      <c r="M1094" s="98"/>
      <c r="N1094" s="98"/>
      <c r="O1094" s="98"/>
      <c r="P1094" s="98"/>
      <c r="Q1094" s="98"/>
      <c r="R1094" s="98"/>
    </row>
    <row r="1095" spans="1:18" ht="15" customHeight="1">
      <c r="A1095" s="275" t="s">
        <v>194</v>
      </c>
      <c r="B1095" s="276"/>
      <c r="C1095" s="277" t="s">
        <v>132</v>
      </c>
      <c r="D1095" s="40" t="s">
        <v>23</v>
      </c>
      <c r="E1095" s="46">
        <v>1.22</v>
      </c>
      <c r="G1095" s="102" t="str">
        <f>CONCATENATE(D1095," - ",E1095,", ")</f>
        <v>Brass scrap - 1.22, </v>
      </c>
      <c r="H1095" s="268"/>
      <c r="I1095" s="98" t="str">
        <f ca="1">IF(J1094&gt;=3,(MID(I1094,2,1)&amp;MID(I1094,4,4)-K1094),CELL("address",Z1095))</f>
        <v>G1096</v>
      </c>
      <c r="J1095" s="98" t="str">
        <f ca="1">IF(J1094&gt;=4,(MID(I1095,1,1)&amp;MID(I1095,2,4)+1),CELL("address",AA1095))</f>
        <v>G1097</v>
      </c>
      <c r="K1095" s="98" t="str">
        <f ca="1">IF(J1094&gt;=5,(MID(J1095,1,1)&amp;MID(J1095,2,4)+1),CELL("address",AB1095))</f>
        <v>G1098</v>
      </c>
      <c r="L1095" s="98" t="str">
        <f ca="1">IF(J1094&gt;=6,(MID(K1095,1,1)&amp;MID(K1095,2,4)+1),CELL("address",AC1095))</f>
        <v>G1099</v>
      </c>
      <c r="M1095" s="98" t="str">
        <f ca="1">IF(J1094&gt;=7,(MID(L1095,1,1)&amp;MID(L1095,2,4)+1),CELL("address",AD1095))</f>
        <v>G1100</v>
      </c>
      <c r="N1095" s="98" t="str">
        <f ca="1">IF(J1094&gt;=8,(MID(M1095,1,1)&amp;MID(M1095,2,4)+1),CELL("address",AE1095))</f>
        <v>$AE$1095</v>
      </c>
      <c r="O1095" s="98" t="str">
        <f ca="1">IF(J1094&gt;=9,(MID(N1095,1,1)&amp;MID(N1095,2,4)+1),CELL("address",AF1095))</f>
        <v>$AF$1095</v>
      </c>
      <c r="P1095" s="98" t="str">
        <f ca="1">IF(J1094&gt;=10,(MID(O1095,1,1)&amp;MID(O1095,2,4)+1),CELL("address",AG1095))</f>
        <v>$AG$1095</v>
      </c>
      <c r="Q1095" s="98" t="str">
        <f ca="1">IF(J1094&gt;=11,(MID(P1095,1,1)&amp;MID(P1095,2,4)+1),CELL("address",AH1095))</f>
        <v>$AH$1095</v>
      </c>
      <c r="R1095" s="98" t="str">
        <f ca="1">IF(J1094&gt;=12,(MID(Q1095,1,1)&amp;MID(Q1095,2,4)+1),CELL("address",AI1095))</f>
        <v>$AI$1095</v>
      </c>
    </row>
    <row r="1096" spans="1:15" ht="15" customHeight="1">
      <c r="A1096" s="280"/>
      <c r="B1096" s="281"/>
      <c r="C1096" s="278"/>
      <c r="D1096" s="40" t="s">
        <v>24</v>
      </c>
      <c r="E1096" s="46">
        <v>0.151</v>
      </c>
      <c r="F1096" s="98"/>
      <c r="G1096" s="102" t="str">
        <f>CONCATENATE(D1096," - ",E1096,", ")</f>
        <v>Misc. Aluminium scrap - 0.151, </v>
      </c>
      <c r="H1096" s="98"/>
      <c r="I1096" s="98"/>
      <c r="J1096" s="98"/>
      <c r="K1096" s="98"/>
      <c r="L1096" s="98"/>
      <c r="M1096" s="98"/>
      <c r="N1096" s="98"/>
      <c r="O1096" s="98"/>
    </row>
    <row r="1097" spans="1:15" ht="15" customHeight="1">
      <c r="A1097" s="280"/>
      <c r="B1097" s="281"/>
      <c r="C1097" s="278"/>
      <c r="D1097" s="40" t="s">
        <v>37</v>
      </c>
      <c r="E1097" s="46">
        <v>0.037</v>
      </c>
      <c r="F1097" s="98"/>
      <c r="G1097" s="102" t="str">
        <f>CONCATENATE(D1097," - ",E1097,", ")</f>
        <v>Burnt Cu scrap - 0.037, </v>
      </c>
      <c r="H1097" s="98"/>
      <c r="I1097" s="98" t="e">
        <f ca="1">IF(G1096&gt;=6,(MID(H1097,1,1)&amp;MID(H1097,2,4)+1),CELL("address",Z1097))</f>
        <v>#VALUE!</v>
      </c>
      <c r="J1097" s="98" t="e">
        <f ca="1">IF(G1096&gt;=7,(MID(I1097,1,1)&amp;MID(I1097,2,4)+1),CELL("address",AA1097))</f>
        <v>#VALUE!</v>
      </c>
      <c r="K1097" s="98" t="e">
        <f ca="1">IF(G1096&gt;=8,(MID(J1097,1,1)&amp;MID(J1097,2,4)+1),CELL("address",AB1097))</f>
        <v>#VALUE!</v>
      </c>
      <c r="L1097" s="98" t="e">
        <f ca="1">IF(G1096&gt;=9,(MID(K1097,1,1)&amp;MID(K1097,2,4)+1),CELL("address",AC1097))</f>
        <v>#VALUE!</v>
      </c>
      <c r="M1097" s="98" t="e">
        <f ca="1">IF(G1096&gt;=10,(MID(L1097,1,1)&amp;MID(L1097,2,4)+1),CELL("address",AD1097))</f>
        <v>#VALUE!</v>
      </c>
      <c r="N1097" s="98" t="e">
        <f ca="1">IF(G1096&gt;=11,(MID(M1097,1,1)&amp;MID(M1097,2,4)+1),CELL("address",AE1097))</f>
        <v>#VALUE!</v>
      </c>
      <c r="O1097" s="98" t="e">
        <f ca="1">IF(G1096&gt;=12,(MID(N1097,1,1)&amp;MID(N1097,2,4)+1),CELL("address",AF1097))</f>
        <v>#VALUE!</v>
      </c>
    </row>
    <row r="1098" spans="1:8" ht="15" customHeight="1">
      <c r="A1098" s="280"/>
      <c r="B1098" s="281"/>
      <c r="C1098" s="278"/>
      <c r="D1098" s="45" t="s">
        <v>75</v>
      </c>
      <c r="E1098" s="46">
        <v>0.088</v>
      </c>
      <c r="G1098" s="102" t="str">
        <f>CONCATENATE(D1098," - ",E1098,", ")</f>
        <v> Iron scrap - 0.088, </v>
      </c>
      <c r="H1098" s="1"/>
    </row>
    <row r="1099" spans="1:8" ht="15" customHeight="1">
      <c r="A1099" s="283"/>
      <c r="B1099" s="284"/>
      <c r="C1099" s="287"/>
      <c r="D1099" s="40" t="s">
        <v>58</v>
      </c>
      <c r="E1099" s="46">
        <v>0.59</v>
      </c>
      <c r="G1099" s="102" t="str">
        <f>CONCATENATE(D1099," - ",E1099,", ")</f>
        <v>Nuts &amp; Bolts scrap - 0.59, </v>
      </c>
      <c r="H1099" s="1"/>
    </row>
    <row r="1100" spans="1:15" ht="15" customHeight="1">
      <c r="A1100" s="51"/>
      <c r="B1100" s="54"/>
      <c r="C1100" s="19"/>
      <c r="D1100" s="54"/>
      <c r="E1100" s="96"/>
      <c r="F1100" s="98"/>
      <c r="G1100" s="98"/>
      <c r="H1100" s="98"/>
      <c r="I1100" s="98"/>
      <c r="J1100" s="98"/>
      <c r="K1100" s="98"/>
      <c r="L1100" s="98"/>
      <c r="M1100" s="98"/>
      <c r="N1100" s="98"/>
      <c r="O1100" s="98"/>
    </row>
    <row r="1101" spans="1:15" ht="15" customHeight="1">
      <c r="A1101" s="265"/>
      <c r="B1101" s="266"/>
      <c r="C1101" s="66"/>
      <c r="D1101" s="66"/>
      <c r="E1101" s="119">
        <f>SUM(E1103:E1103)</f>
        <v>0.021</v>
      </c>
      <c r="F1101" s="98"/>
      <c r="G1101" s="98"/>
      <c r="H1101" s="98"/>
      <c r="I1101" s="98" t="str">
        <f ca="1">IF(G1100&gt;=6,(MID(H1101,1,1)&amp;MID(H1101,2,4)+1),CELL("address",Z1101))</f>
        <v>$Z$1101</v>
      </c>
      <c r="J1101" s="98" t="str">
        <f ca="1">IF(G1100&gt;=7,(MID(I1101,1,1)&amp;MID(I1101,2,4)+1),CELL("address",AA1101))</f>
        <v>$AA$1101</v>
      </c>
      <c r="K1101" s="98" t="str">
        <f ca="1">IF(G1100&gt;=8,(MID(J1101,1,1)&amp;MID(J1101,2,4)+1),CELL("address",AB1101))</f>
        <v>$AB$1101</v>
      </c>
      <c r="L1101" s="98" t="str">
        <f ca="1">IF(G1100&gt;=9,(MID(K1101,1,1)&amp;MID(K1101,2,4)+1),CELL("address",AC1101))</f>
        <v>$AC$1101</v>
      </c>
      <c r="M1101" s="98" t="str">
        <f ca="1">IF(G1100&gt;=10,(MID(L1101,1,1)&amp;MID(L1101,2,4)+1),CELL("address",AD1101))</f>
        <v>$AD$1101</v>
      </c>
      <c r="N1101" s="98" t="str">
        <f ca="1">IF(G1100&gt;=11,(MID(M1101,1,1)&amp;MID(M1101,2,4)+1),CELL("address",AE1101))</f>
        <v>$AE$1101</v>
      </c>
      <c r="O1101" s="98" t="str">
        <f ca="1">IF(G1100&gt;=12,(MID(N1101,1,1)&amp;MID(N1101,2,4)+1),CELL("address",AF1101))</f>
        <v>$AF$1101</v>
      </c>
    </row>
    <row r="1102" spans="1:18" ht="15" customHeight="1">
      <c r="A1102" s="260" t="s">
        <v>5</v>
      </c>
      <c r="B1102" s="260"/>
      <c r="C1102" s="64" t="s">
        <v>17</v>
      </c>
      <c r="D1102" s="65" t="s">
        <v>18</v>
      </c>
      <c r="E1102" s="68" t="s">
        <v>7</v>
      </c>
      <c r="G1102" s="174" t="str">
        <f>CONCATENATE("Misc. Healthy parts/ Non Ferrous  Scrap, Lying at ",C1103,". Quantity in MT - ")</f>
        <v>Misc. Healthy parts/ Non Ferrous  Scrap, Lying at OL Barnala. Quantity in MT - </v>
      </c>
      <c r="H1102" s="268" t="str">
        <f ca="1">CONCATENATE(G1102,G1103,(INDIRECT(I1103)),(INDIRECT(J1103)),(INDIRECT(K1103)),(INDIRECT(L1103)),(INDIRECT(M1103)),(INDIRECT(N1103)),(INDIRECT(O1103)),(INDIRECT(P1103)),(INDIRECT(Q1103)),(INDIRECT(R1103)),".")</f>
        <v>Misc. Healthy parts/ Non Ferrous  Scrap, Lying at OL Barnala. Quantity in MT - Misc. copper scrap - 0.021, .</v>
      </c>
      <c r="I1102" s="98" t="str">
        <f aca="true" ca="1" t="array" ref="I1102">CELL("address",INDEX(G1102:G1126,MATCH(TRUE,ISBLANK(G1102:G1126),0)))</f>
        <v>$G$1104</v>
      </c>
      <c r="J1102" s="98">
        <f aca="true" t="array" ref="J1102">MATCH(TRUE,ISBLANK(G1102:G1126),0)</f>
        <v>3</v>
      </c>
      <c r="K1102" s="98">
        <f>J1102-3</f>
        <v>0</v>
      </c>
      <c r="L1102" s="98"/>
      <c r="M1102" s="98"/>
      <c r="N1102" s="98"/>
      <c r="O1102" s="98"/>
      <c r="P1102" s="98"/>
      <c r="Q1102" s="98"/>
      <c r="R1102" s="98"/>
    </row>
    <row r="1103" spans="1:18" ht="15" customHeight="1">
      <c r="A1103" s="260" t="s">
        <v>195</v>
      </c>
      <c r="B1103" s="260"/>
      <c r="C1103" s="221" t="s">
        <v>190</v>
      </c>
      <c r="D1103" s="60" t="s">
        <v>111</v>
      </c>
      <c r="E1103" s="69">
        <v>0.021</v>
      </c>
      <c r="G1103" s="102" t="str">
        <f>CONCATENATE(D1103," - ",E1103,", ")</f>
        <v>Misc. copper scrap - 0.021, </v>
      </c>
      <c r="H1103" s="268"/>
      <c r="I1103" s="98" t="str">
        <f ca="1">IF(J1102&gt;=3,(MID(I1102,2,1)&amp;MID(I1102,4,4)-K1102),CELL("address",Z1103))</f>
        <v>G1104</v>
      </c>
      <c r="J1103" s="98" t="str">
        <f ca="1">IF(J1102&gt;=4,(MID(I1103,1,1)&amp;MID(I1103,2,4)+1),CELL("address",AA1103))</f>
        <v>$AA$1103</v>
      </c>
      <c r="K1103" s="98" t="str">
        <f ca="1">IF(J1102&gt;=5,(MID(J1103,1,1)&amp;MID(J1103,2,4)+1),CELL("address",AB1103))</f>
        <v>$AB$1103</v>
      </c>
      <c r="L1103" s="98" t="str">
        <f ca="1">IF(J1102&gt;=6,(MID(K1103,1,1)&amp;MID(K1103,2,4)+1),CELL("address",AC1103))</f>
        <v>$AC$1103</v>
      </c>
      <c r="M1103" s="98" t="str">
        <f ca="1">IF(J1102&gt;=7,(MID(L1103,1,1)&amp;MID(L1103,2,4)+1),CELL("address",AD1103))</f>
        <v>$AD$1103</v>
      </c>
      <c r="N1103" s="98" t="str">
        <f ca="1">IF(J1102&gt;=8,(MID(M1103,1,1)&amp;MID(M1103,2,4)+1),CELL("address",AE1103))</f>
        <v>$AE$1103</v>
      </c>
      <c r="O1103" s="98" t="str">
        <f ca="1">IF(J1102&gt;=9,(MID(N1103,1,1)&amp;MID(N1103,2,4)+1),CELL("address",AF1103))</f>
        <v>$AF$1103</v>
      </c>
      <c r="P1103" s="98" t="str">
        <f ca="1">IF(J1102&gt;=10,(MID(O1103,1,1)&amp;MID(O1103,2,4)+1),CELL("address",AG1103))</f>
        <v>$AG$1103</v>
      </c>
      <c r="Q1103" s="98" t="str">
        <f ca="1">IF(J1102&gt;=11,(MID(P1103,1,1)&amp;MID(P1103,2,4)+1),CELL("address",AH1103))</f>
        <v>$AH$1103</v>
      </c>
      <c r="R1103" s="98" t="str">
        <f ca="1">IF(J1102&gt;=12,(MID(Q1103,1,1)&amp;MID(Q1103,2,4)+1),CELL("address",AI1103))</f>
        <v>$AI$1103</v>
      </c>
    </row>
    <row r="1104" spans="1:8" ht="15" customHeight="1">
      <c r="A1104" s="35"/>
      <c r="B1104" s="1"/>
      <c r="C1104" s="1"/>
      <c r="D1104" s="1"/>
      <c r="E1104" s="1"/>
      <c r="H1104" s="1"/>
    </row>
    <row r="1105" spans="1:8" ht="15" customHeight="1">
      <c r="A1105" s="265"/>
      <c r="B1105" s="266"/>
      <c r="C1105" s="66"/>
      <c r="D1105" s="66"/>
      <c r="E1105" s="119">
        <f>SUM(E1107:E1111)</f>
        <v>3.0719999999999996</v>
      </c>
      <c r="H1105" s="1"/>
    </row>
    <row r="1106" spans="1:18" ht="15" customHeight="1">
      <c r="A1106" s="260" t="s">
        <v>5</v>
      </c>
      <c r="B1106" s="260"/>
      <c r="C1106" s="64" t="s">
        <v>17</v>
      </c>
      <c r="D1106" s="65" t="s">
        <v>18</v>
      </c>
      <c r="E1106" s="68" t="s">
        <v>7</v>
      </c>
      <c r="F1106" s="98"/>
      <c r="G1106" s="174" t="str">
        <f>CONCATENATE("Misc. Healthy parts/ Non Ferrous  Scrap, Lying at ",C1107,". Quantity in MT - ")</f>
        <v>Misc. Healthy parts/ Non Ferrous  Scrap, Lying at TRY Moga. Quantity in MT - </v>
      </c>
      <c r="H1106" s="268" t="str">
        <f ca="1">CONCATENATE(G1106,G1107,(INDIRECT(I1107)),(INDIRECT(J1107)),(INDIRECT(K1107)),(INDIRECT(L1107)),(INDIRECT(M1107)),(INDIRECT(N1107)),(INDIRECT(O1107)),(INDIRECT(P1107)),(INDIRECT(Q1107)),(INDIRECT(R1107)),".")</f>
        <v>Misc. Healthy parts/ Non Ferrous  Scrap, Lying at TRY Moga. Quantity in MT - Brass scrap - 1.769, Misc. Alumn. Scrap - 0.301, Iron scrap - 0.125, Burnt Cu scrap - 0.062, Nuts &amp; Bolts scrap - 0.815, .</v>
      </c>
      <c r="I1106" s="98" t="str">
        <f aca="true" ca="1" t="array" ref="I1106">CELL("address",INDEX(G1106:G1130,MATCH(TRUE,ISBLANK(G1106:G1130),0)))</f>
        <v>$G$1112</v>
      </c>
      <c r="J1106" s="98">
        <f aca="true" t="array" ref="J1106">MATCH(TRUE,ISBLANK(G1106:G1130),0)</f>
        <v>7</v>
      </c>
      <c r="K1106" s="98">
        <f>J1106-3</f>
        <v>4</v>
      </c>
      <c r="L1106" s="98"/>
      <c r="M1106" s="98"/>
      <c r="N1106" s="98"/>
      <c r="O1106" s="98"/>
      <c r="P1106" s="98"/>
      <c r="Q1106" s="98"/>
      <c r="R1106" s="98"/>
    </row>
    <row r="1107" spans="1:18" ht="15" customHeight="1">
      <c r="A1107" s="260" t="s">
        <v>235</v>
      </c>
      <c r="B1107" s="260"/>
      <c r="C1107" s="261" t="s">
        <v>222</v>
      </c>
      <c r="D1107" s="45" t="s">
        <v>23</v>
      </c>
      <c r="E1107" s="120">
        <v>1.769</v>
      </c>
      <c r="F1107" s="98"/>
      <c r="G1107" s="102" t="str">
        <f>CONCATENATE(D1107," - ",E1107,", ")</f>
        <v>Brass scrap - 1.769, </v>
      </c>
      <c r="H1107" s="268"/>
      <c r="I1107" s="98" t="str">
        <f ca="1">IF(J1106&gt;=3,(MID(I1106,2,1)&amp;MID(I1106,4,4)-K1106),CELL("address",Z1107))</f>
        <v>G1108</v>
      </c>
      <c r="J1107" s="98" t="str">
        <f ca="1">IF(J1106&gt;=4,(MID(I1107,1,1)&amp;MID(I1107,2,4)+1),CELL("address",AA1107))</f>
        <v>G1109</v>
      </c>
      <c r="K1107" s="98" t="str">
        <f ca="1">IF(J1106&gt;=5,(MID(J1107,1,1)&amp;MID(J1107,2,4)+1),CELL("address",AB1107))</f>
        <v>G1110</v>
      </c>
      <c r="L1107" s="98" t="str">
        <f ca="1">IF(J1106&gt;=6,(MID(K1107,1,1)&amp;MID(K1107,2,4)+1),CELL("address",AC1107))</f>
        <v>G1111</v>
      </c>
      <c r="M1107" s="98" t="str">
        <f ca="1">IF(J1106&gt;=7,(MID(L1107,1,1)&amp;MID(L1107,2,4)+1),CELL("address",AD1107))</f>
        <v>G1112</v>
      </c>
      <c r="N1107" s="98" t="str">
        <f ca="1">IF(J1106&gt;=8,(MID(M1107,1,1)&amp;MID(M1107,2,4)+1),CELL("address",AE1107))</f>
        <v>$AE$1107</v>
      </c>
      <c r="O1107" s="98" t="str">
        <f ca="1">IF(J1106&gt;=9,(MID(N1107,1,1)&amp;MID(N1107,2,4)+1),CELL("address",AF1107))</f>
        <v>$AF$1107</v>
      </c>
      <c r="P1107" s="98" t="str">
        <f ca="1">IF(J1106&gt;=10,(MID(O1107,1,1)&amp;MID(O1107,2,4)+1),CELL("address",AG1107))</f>
        <v>$AG$1107</v>
      </c>
      <c r="Q1107" s="98" t="str">
        <f ca="1">IF(J1106&gt;=11,(MID(P1107,1,1)&amp;MID(P1107,2,4)+1),CELL("address",AH1107))</f>
        <v>$AH$1107</v>
      </c>
      <c r="R1107" s="98" t="str">
        <f ca="1">IF(J1106&gt;=12,(MID(Q1107,1,1)&amp;MID(Q1107,2,4)+1),CELL("address",AI1107))</f>
        <v>$AI$1107</v>
      </c>
    </row>
    <row r="1108" spans="1:15" ht="15" customHeight="1">
      <c r="A1108" s="260"/>
      <c r="B1108" s="260"/>
      <c r="C1108" s="261"/>
      <c r="D1108" s="45" t="s">
        <v>31</v>
      </c>
      <c r="E1108" s="68">
        <v>0.301</v>
      </c>
      <c r="F1108" s="98"/>
      <c r="G1108" s="102" t="str">
        <f>CONCATENATE(D1108," - ",E1108,", ")</f>
        <v>Misc. Alumn. Scrap - 0.301, </v>
      </c>
      <c r="H1108" s="98"/>
      <c r="I1108" s="98"/>
      <c r="J1108" s="98"/>
      <c r="K1108" s="98"/>
      <c r="L1108" s="98"/>
      <c r="M1108" s="98"/>
      <c r="N1108" s="98"/>
      <c r="O1108" s="98"/>
    </row>
    <row r="1109" spans="1:8" ht="15" customHeight="1">
      <c r="A1109" s="260"/>
      <c r="B1109" s="260"/>
      <c r="C1109" s="261"/>
      <c r="D1109" s="40" t="s">
        <v>27</v>
      </c>
      <c r="E1109" s="68">
        <v>0.125</v>
      </c>
      <c r="G1109" s="102" t="str">
        <f>CONCATENATE(D1109," - ",E1109,", ")</f>
        <v>Iron scrap - 0.125, </v>
      </c>
      <c r="H1109" s="1"/>
    </row>
    <row r="1110" spans="1:8" ht="15" customHeight="1">
      <c r="A1110" s="260"/>
      <c r="B1110" s="260"/>
      <c r="C1110" s="261"/>
      <c r="D1110" s="40" t="s">
        <v>37</v>
      </c>
      <c r="E1110" s="64">
        <v>0.062</v>
      </c>
      <c r="G1110" s="102" t="str">
        <f>CONCATENATE(D1110," - ",E1110,", ")</f>
        <v>Burnt Cu scrap - 0.062, </v>
      </c>
      <c r="H1110" s="1"/>
    </row>
    <row r="1111" spans="1:8" ht="15" customHeight="1">
      <c r="A1111" s="260"/>
      <c r="B1111" s="260"/>
      <c r="C1111" s="261"/>
      <c r="D1111" s="40" t="s">
        <v>58</v>
      </c>
      <c r="E1111" s="64">
        <v>0.815</v>
      </c>
      <c r="G1111" s="211" t="str">
        <f>CONCATENATE(D1111," - ",E1111,", ")</f>
        <v>Nuts &amp; Bolts scrap - 0.815, </v>
      </c>
      <c r="H1111" s="1"/>
    </row>
    <row r="1112" spans="1:8" ht="15" customHeight="1">
      <c r="A1112" s="35"/>
      <c r="B1112" s="1"/>
      <c r="C1112" s="1"/>
      <c r="D1112" s="1"/>
      <c r="E1112" s="1"/>
      <c r="H1112" s="1"/>
    </row>
    <row r="1113" spans="1:15" ht="15" customHeight="1">
      <c r="A1113" s="265"/>
      <c r="B1113" s="266"/>
      <c r="C1113" s="66"/>
      <c r="D1113" s="66"/>
      <c r="E1113" s="119">
        <f>SUM(E1115:E1116)</f>
        <v>0.346</v>
      </c>
      <c r="F1113" s="98"/>
      <c r="G1113" s="98"/>
      <c r="H1113" s="98"/>
      <c r="I1113" s="98"/>
      <c r="J1113" s="98"/>
      <c r="K1113" s="98"/>
      <c r="L1113" s="98"/>
      <c r="M1113" s="98"/>
      <c r="N1113" s="98"/>
      <c r="O1113" s="98"/>
    </row>
    <row r="1114" spans="1:18" ht="15" customHeight="1">
      <c r="A1114" s="260" t="s">
        <v>5</v>
      </c>
      <c r="B1114" s="260"/>
      <c r="C1114" s="64" t="s">
        <v>17</v>
      </c>
      <c r="D1114" s="65" t="s">
        <v>18</v>
      </c>
      <c r="E1114" s="68" t="s">
        <v>7</v>
      </c>
      <c r="F1114" s="98"/>
      <c r="G1114" s="174" t="str">
        <f>CONCATENATE("Misc. Healthy parts/ Non Ferrous  Scrap, Lying at ",C1115,". Quantity in MT - ")</f>
        <v>Misc. Healthy parts/ Non Ferrous  Scrap, Lying at CS Ferozepur. Quantity in MT - </v>
      </c>
      <c r="H1114" s="268" t="str">
        <f ca="1">CONCATENATE(G1114,G1115,(INDIRECT(I1115)),(INDIRECT(J1115)),(INDIRECT(K1115)),(INDIRECT(L1115)),(INDIRECT(M1115)),(INDIRECT(N1115)),(INDIRECT(O1115)),(INDIRECT(P1115)),(INDIRECT(Q1115)),(INDIRECT(R1115)),".")</f>
        <v>Misc. Healthy parts/ Non Ferrous  Scrap, Lying at CS Ferozepur. Quantity in MT - Misc. copper scrap - 0.174, All Alumn. Conductor Scrap - 0.172, .</v>
      </c>
      <c r="I1114" s="98" t="str">
        <f aca="true" ca="1" t="array" ref="I1114">CELL("address",INDEX(G1114:G1136,MATCH(TRUE,ISBLANK(G1114:G1136),0)))</f>
        <v>$G$1117</v>
      </c>
      <c r="J1114" s="98">
        <f aca="true" t="array" ref="J1114">MATCH(TRUE,ISBLANK(G1114:G1136),0)</f>
        <v>4</v>
      </c>
      <c r="K1114" s="98">
        <f>J1114-3</f>
        <v>1</v>
      </c>
      <c r="L1114" s="98"/>
      <c r="M1114" s="98"/>
      <c r="N1114" s="98"/>
      <c r="O1114" s="98"/>
      <c r="P1114" s="98"/>
      <c r="Q1114" s="98"/>
      <c r="R1114" s="98"/>
    </row>
    <row r="1115" spans="1:18" ht="15" customHeight="1">
      <c r="A1115" s="260" t="s">
        <v>249</v>
      </c>
      <c r="B1115" s="260"/>
      <c r="C1115" s="261" t="s">
        <v>99</v>
      </c>
      <c r="D1115" s="60" t="s">
        <v>111</v>
      </c>
      <c r="E1115" s="69">
        <v>0.174</v>
      </c>
      <c r="G1115" s="102" t="str">
        <f>CONCATENATE(D1115," - ",E1115,", ")</f>
        <v>Misc. copper scrap - 0.174, </v>
      </c>
      <c r="H1115" s="268"/>
      <c r="I1115" s="98" t="str">
        <f ca="1">IF(J1114&gt;=3,(MID(I1114,2,1)&amp;MID(I1114,4,4)-K1114),CELL("address",Z1115))</f>
        <v>G1116</v>
      </c>
      <c r="J1115" s="98" t="str">
        <f ca="1">IF(J1114&gt;=4,(MID(I1115,1,1)&amp;MID(I1115,2,4)+1),CELL("address",AA1115))</f>
        <v>G1117</v>
      </c>
      <c r="K1115" s="98" t="str">
        <f ca="1">IF(J1114&gt;=5,(MID(J1115,1,1)&amp;MID(J1115,2,4)+1),CELL("address",AB1115))</f>
        <v>$AB$1115</v>
      </c>
      <c r="L1115" s="98" t="str">
        <f ca="1">IF(J1114&gt;=6,(MID(K1115,1,1)&amp;MID(K1115,2,4)+1),CELL("address",AC1115))</f>
        <v>$AC$1115</v>
      </c>
      <c r="M1115" s="98" t="str">
        <f ca="1">IF(J1114&gt;=7,(MID(L1115,1,1)&amp;MID(L1115,2,4)+1),CELL("address",AD1115))</f>
        <v>$AD$1115</v>
      </c>
      <c r="N1115" s="98" t="str">
        <f ca="1">IF(J1114&gt;=8,(MID(M1115,1,1)&amp;MID(M1115,2,4)+1),CELL("address",AE1115))</f>
        <v>$AE$1115</v>
      </c>
      <c r="O1115" s="98" t="str">
        <f ca="1">IF(J1114&gt;=9,(MID(N1115,1,1)&amp;MID(N1115,2,4)+1),CELL("address",AF1115))</f>
        <v>$AF$1115</v>
      </c>
      <c r="P1115" s="98" t="str">
        <f ca="1">IF(J1114&gt;=10,(MID(O1115,1,1)&amp;MID(O1115,2,4)+1),CELL("address",AG1115))</f>
        <v>$AG$1115</v>
      </c>
      <c r="Q1115" s="98" t="str">
        <f ca="1">IF(J1114&gt;=11,(MID(P1115,1,1)&amp;MID(P1115,2,4)+1),CELL("address",AH1115))</f>
        <v>$AH$1115</v>
      </c>
      <c r="R1115" s="98" t="str">
        <f ca="1">IF(J1114&gt;=12,(MID(Q1115,1,1)&amp;MID(Q1115,2,4)+1),CELL("address",AI1115))</f>
        <v>$AI$1115</v>
      </c>
    </row>
    <row r="1116" spans="1:8" ht="15" customHeight="1">
      <c r="A1116" s="260"/>
      <c r="B1116" s="260"/>
      <c r="C1116" s="261"/>
      <c r="D1116" s="45" t="s">
        <v>32</v>
      </c>
      <c r="E1116" s="46">
        <v>0.172</v>
      </c>
      <c r="G1116" s="102" t="str">
        <f>CONCATENATE(D1116," - ",E1116,", ")</f>
        <v>All Alumn. Conductor Scrap - 0.172, </v>
      </c>
      <c r="H1116" s="1"/>
    </row>
    <row r="1117" spans="1:8" ht="15" customHeight="1">
      <c r="A1117" s="35"/>
      <c r="B1117" s="1"/>
      <c r="C1117" s="1"/>
      <c r="D1117" s="1"/>
      <c r="E1117" s="1"/>
      <c r="H1117" s="1"/>
    </row>
    <row r="1118" spans="1:8" ht="15" customHeight="1">
      <c r="A1118" s="265"/>
      <c r="B1118" s="266"/>
      <c r="C1118" s="66"/>
      <c r="D1118" s="66"/>
      <c r="E1118" s="119">
        <f>SUM(E1120:E1123)</f>
        <v>0.23000000000000004</v>
      </c>
      <c r="H1118" s="1"/>
    </row>
    <row r="1119" spans="1:18" ht="15" customHeight="1">
      <c r="A1119" s="260" t="s">
        <v>5</v>
      </c>
      <c r="B1119" s="260"/>
      <c r="C1119" s="64" t="s">
        <v>17</v>
      </c>
      <c r="D1119" s="65" t="s">
        <v>18</v>
      </c>
      <c r="E1119" s="68" t="s">
        <v>7</v>
      </c>
      <c r="G1119" s="174" t="str">
        <f>CONCATENATE("Misc. Healthy parts/ Non Ferrous  Scrap, Lying at ",C1120,". Quantity in MT - ")</f>
        <v>Misc. Healthy parts/ Non Ferrous  Scrap, Lying at TRY Barnala. Quantity in MT - </v>
      </c>
      <c r="H1119" s="268" t="str">
        <f ca="1">CONCATENATE(G1119,G1120,(INDIRECT(I1120)),(INDIRECT(J1120)),(INDIRECT(K1120)),(INDIRECT(L1120)),(INDIRECT(M1120)),(INDIRECT(N1120)),(INDIRECT(O1120)),(INDIRECT(P1120)),(INDIRECT(Q1120)),(INDIRECT(R1120)),".")</f>
        <v>Misc. Healthy parts/ Non Ferrous  Scrap, Lying at TRY Barnala. Quantity in MT - Brass scrap - 0.2, Misc. Alumn. Scrap - 0.011, Iron scrap - 0.011, Burnt Cu scrap - 0.008, .</v>
      </c>
      <c r="I1119" s="98" t="str">
        <f aca="true" ca="1" t="array" ref="I1119">CELL("address",INDEX(G1119:G1141,MATCH(TRUE,ISBLANK(G1119:G1141),0)))</f>
        <v>$G$1124</v>
      </c>
      <c r="J1119" s="98">
        <f aca="true" t="array" ref="J1119">MATCH(TRUE,ISBLANK(G1119:G1141),0)</f>
        <v>6</v>
      </c>
      <c r="K1119" s="98">
        <f>J1119-3</f>
        <v>3</v>
      </c>
      <c r="L1119" s="98"/>
      <c r="M1119" s="98"/>
      <c r="N1119" s="98"/>
      <c r="O1119" s="98"/>
      <c r="P1119" s="98"/>
      <c r="Q1119" s="98"/>
      <c r="R1119" s="98"/>
    </row>
    <row r="1120" spans="1:18" ht="13.5" customHeight="1">
      <c r="A1120" s="260" t="s">
        <v>265</v>
      </c>
      <c r="B1120" s="260"/>
      <c r="C1120" s="261" t="s">
        <v>327</v>
      </c>
      <c r="D1120" s="45" t="s">
        <v>23</v>
      </c>
      <c r="E1120" s="120">
        <v>0.2</v>
      </c>
      <c r="F1120" s="98"/>
      <c r="G1120" s="102" t="str">
        <f>CONCATENATE(D1120," - ",E1120,", ")</f>
        <v>Brass scrap - 0.2, </v>
      </c>
      <c r="H1120" s="268"/>
      <c r="I1120" s="98" t="str">
        <f ca="1">IF(J1119&gt;=3,(MID(I1119,2,1)&amp;MID(I1119,4,4)-K1119),CELL("address",Z1120))</f>
        <v>G1121</v>
      </c>
      <c r="J1120" s="98" t="str">
        <f ca="1">IF(J1119&gt;=4,(MID(I1120,1,1)&amp;MID(I1120,2,4)+1),CELL("address",AA1120))</f>
        <v>G1122</v>
      </c>
      <c r="K1120" s="98" t="str">
        <f ca="1">IF(J1119&gt;=5,(MID(J1120,1,1)&amp;MID(J1120,2,4)+1),CELL("address",AB1120))</f>
        <v>G1123</v>
      </c>
      <c r="L1120" s="98" t="str">
        <f ca="1">IF(J1119&gt;=6,(MID(K1120,1,1)&amp;MID(K1120,2,4)+1),CELL("address",AC1120))</f>
        <v>G1124</v>
      </c>
      <c r="M1120" s="98" t="str">
        <f ca="1">IF(J1119&gt;=7,(MID(L1120,1,1)&amp;MID(L1120,2,4)+1),CELL("address",AD1120))</f>
        <v>$AD$1120</v>
      </c>
      <c r="N1120" s="98" t="str">
        <f ca="1">IF(J1119&gt;=8,(MID(M1120,1,1)&amp;MID(M1120,2,4)+1),CELL("address",AE1120))</f>
        <v>$AE$1120</v>
      </c>
      <c r="O1120" s="98" t="str">
        <f ca="1">IF(J1119&gt;=9,(MID(N1120,1,1)&amp;MID(N1120,2,4)+1),CELL("address",AF1120))</f>
        <v>$AF$1120</v>
      </c>
      <c r="P1120" s="98" t="str">
        <f ca="1">IF(J1119&gt;=10,(MID(O1120,1,1)&amp;MID(O1120,2,4)+1),CELL("address",AG1120))</f>
        <v>$AG$1120</v>
      </c>
      <c r="Q1120" s="98" t="str">
        <f ca="1">IF(J1119&gt;=11,(MID(P1120,1,1)&amp;MID(P1120,2,4)+1),CELL("address",AH1120))</f>
        <v>$AH$1120</v>
      </c>
      <c r="R1120" s="98" t="str">
        <f ca="1">IF(J1119&gt;=12,(MID(Q1120,1,1)&amp;MID(Q1120,2,4)+1),CELL("address",AI1120))</f>
        <v>$AI$1120</v>
      </c>
    </row>
    <row r="1121" spans="1:15" ht="15" customHeight="1">
      <c r="A1121" s="260"/>
      <c r="B1121" s="260"/>
      <c r="C1121" s="261"/>
      <c r="D1121" s="45" t="s">
        <v>31</v>
      </c>
      <c r="E1121" s="68">
        <v>0.011</v>
      </c>
      <c r="F1121" s="98"/>
      <c r="G1121" s="102" t="str">
        <f>CONCATENATE(D1121," - ",E1121,", ")</f>
        <v>Misc. Alumn. Scrap - 0.011, </v>
      </c>
      <c r="H1121" s="98"/>
      <c r="I1121" s="98" t="e">
        <f ca="1">IF(G1120&gt;=6,(MID(H1121,1,1)&amp;MID(H1121,2,4)+1),CELL("address",Z1121))</f>
        <v>#VALUE!</v>
      </c>
      <c r="J1121" s="98" t="e">
        <f ca="1">IF(G1120&gt;=7,(MID(I1121,1,1)&amp;MID(I1121,2,4)+1),CELL("address",AA1121))</f>
        <v>#VALUE!</v>
      </c>
      <c r="K1121" s="98" t="e">
        <f ca="1">IF(G1120&gt;=8,(MID(J1121,1,1)&amp;MID(J1121,2,4)+1),CELL("address",AB1121))</f>
        <v>#VALUE!</v>
      </c>
      <c r="L1121" s="98" t="e">
        <f ca="1">IF(G1120&gt;=9,(MID(K1121,1,1)&amp;MID(K1121,2,4)+1),CELL("address",AC1121))</f>
        <v>#VALUE!</v>
      </c>
      <c r="M1121" s="98" t="e">
        <f ca="1">IF(G1120&gt;=10,(MID(L1121,1,1)&amp;MID(L1121,2,4)+1),CELL("address",AD1121))</f>
        <v>#VALUE!</v>
      </c>
      <c r="N1121" s="98" t="e">
        <f ca="1">IF(G1120&gt;=11,(MID(M1121,1,1)&amp;MID(M1121,2,4)+1),CELL("address",AE1121))</f>
        <v>#VALUE!</v>
      </c>
      <c r="O1121" s="98" t="e">
        <f ca="1">IF(G1120&gt;=12,(MID(N1121,1,1)&amp;MID(N1121,2,4)+1),CELL("address",AF1121))</f>
        <v>#VALUE!</v>
      </c>
    </row>
    <row r="1122" spans="1:8" ht="15" customHeight="1">
      <c r="A1122" s="260"/>
      <c r="B1122" s="260"/>
      <c r="C1122" s="261"/>
      <c r="D1122" s="40" t="s">
        <v>27</v>
      </c>
      <c r="E1122" s="68">
        <v>0.011</v>
      </c>
      <c r="G1122" s="102" t="str">
        <f>CONCATENATE(D1122," - ",E1122,", ")</f>
        <v>Iron scrap - 0.011, </v>
      </c>
      <c r="H1122" s="1"/>
    </row>
    <row r="1123" spans="1:8" ht="15" customHeight="1">
      <c r="A1123" s="260"/>
      <c r="B1123" s="260"/>
      <c r="C1123" s="261"/>
      <c r="D1123" s="40" t="s">
        <v>37</v>
      </c>
      <c r="E1123" s="138">
        <v>0.008</v>
      </c>
      <c r="G1123" s="102" t="str">
        <f>CONCATENATE(D1123," - ",E1123,", ")</f>
        <v>Burnt Cu scrap - 0.008, </v>
      </c>
      <c r="H1123" s="1"/>
    </row>
    <row r="1124" spans="1:8" ht="15" customHeight="1">
      <c r="A1124" s="35"/>
      <c r="B1124" s="1"/>
      <c r="C1124" s="1"/>
      <c r="D1124" s="1"/>
      <c r="E1124" s="1"/>
      <c r="H1124" s="1"/>
    </row>
    <row r="1125" spans="1:8" ht="15" customHeight="1">
      <c r="A1125" s="265"/>
      <c r="B1125" s="266"/>
      <c r="C1125" s="66"/>
      <c r="D1125" s="66"/>
      <c r="E1125" s="119">
        <f>SUM(E1127:E1131)</f>
        <v>2.958</v>
      </c>
      <c r="H1125" s="1"/>
    </row>
    <row r="1126" spans="1:18" ht="15" customHeight="1">
      <c r="A1126" s="260" t="s">
        <v>5</v>
      </c>
      <c r="B1126" s="260"/>
      <c r="C1126" s="64" t="s">
        <v>17</v>
      </c>
      <c r="D1126" s="65" t="s">
        <v>18</v>
      </c>
      <c r="E1126" s="68" t="s">
        <v>7</v>
      </c>
      <c r="G1126" s="174" t="str">
        <f>CONCATENATE("Misc. Healthy parts/ Non Ferrous  Scrap, Lying at ",C1127,". Quantity in MT - ")</f>
        <v>Misc. Healthy parts/ Non Ferrous  Scrap, Lying at TRY Sangrur. Quantity in MT - </v>
      </c>
      <c r="H1126" s="268" t="str">
        <f ca="1">CONCATENATE(G1126,G1127,(INDIRECT(I1127)),(INDIRECT(J1127)),(INDIRECT(K1127)),(INDIRECT(L1127)),(INDIRECT(M1127)),(INDIRECT(N1127)),(INDIRECT(O1127)),(INDIRECT(P1127)),(INDIRECT(Q1127)),(INDIRECT(R1127)),".")</f>
        <v>Misc. Healthy parts/ Non Ferrous  Scrap, Lying at TRY Sangrur. Quantity in MT - Brass scrap - 1.56, Misc. Alumn. Scrap - 0.125, Burnt Cu scrap - 0.043, Iron scrap - 0.177, Nuts &amp; Bolts scrap - 1.053, .</v>
      </c>
      <c r="I1126" s="98" t="str">
        <f aca="true" ca="1" t="array" ref="I1126">CELL("address",INDEX(G1126:G1150,MATCH(TRUE,ISBLANK(G1126:G1150),0)))</f>
        <v>$G$1132</v>
      </c>
      <c r="J1126" s="98">
        <f aca="true" t="array" ref="J1126">MATCH(TRUE,ISBLANK(G1126:G1150),0)</f>
        <v>7</v>
      </c>
      <c r="K1126" s="98">
        <f>J1126-3</f>
        <v>4</v>
      </c>
      <c r="L1126" s="98"/>
      <c r="M1126" s="98"/>
      <c r="N1126" s="98"/>
      <c r="O1126" s="98"/>
      <c r="P1126" s="98"/>
      <c r="Q1126" s="98"/>
      <c r="R1126" s="98"/>
    </row>
    <row r="1127" spans="1:18" ht="15" customHeight="1">
      <c r="A1127" s="260" t="s">
        <v>270</v>
      </c>
      <c r="B1127" s="260"/>
      <c r="C1127" s="261" t="s">
        <v>135</v>
      </c>
      <c r="D1127" s="45" t="s">
        <v>23</v>
      </c>
      <c r="E1127" s="158">
        <v>1.56</v>
      </c>
      <c r="G1127" s="102" t="str">
        <f>CONCATENATE(D1127," - ",E1127,", ")</f>
        <v>Brass scrap - 1.56, </v>
      </c>
      <c r="H1127" s="268"/>
      <c r="I1127" s="98" t="str">
        <f ca="1">IF(J1126&gt;=3,(MID(I1126,2,1)&amp;MID(I1126,4,4)-K1126),CELL("address",Z1127))</f>
        <v>G1128</v>
      </c>
      <c r="J1127" s="98" t="str">
        <f ca="1">IF(J1126&gt;=4,(MID(I1127,1,1)&amp;MID(I1127,2,4)+1),CELL("address",AA1127))</f>
        <v>G1129</v>
      </c>
      <c r="K1127" s="98" t="str">
        <f ca="1">IF(J1126&gt;=5,(MID(J1127,1,1)&amp;MID(J1127,2,4)+1),CELL("address",AB1127))</f>
        <v>G1130</v>
      </c>
      <c r="L1127" s="98" t="str">
        <f ca="1">IF(J1126&gt;=6,(MID(K1127,1,1)&amp;MID(K1127,2,4)+1),CELL("address",AC1127))</f>
        <v>G1131</v>
      </c>
      <c r="M1127" s="98" t="str">
        <f ca="1">IF(J1126&gt;=7,(MID(L1127,1,1)&amp;MID(L1127,2,4)+1),CELL("address",AD1127))</f>
        <v>G1132</v>
      </c>
      <c r="N1127" s="98" t="str">
        <f ca="1">IF(J1126&gt;=8,(MID(M1127,1,1)&amp;MID(M1127,2,4)+1),CELL("address",AE1127))</f>
        <v>$AE$1127</v>
      </c>
      <c r="O1127" s="98" t="str">
        <f ca="1">IF(J1126&gt;=9,(MID(N1127,1,1)&amp;MID(N1127,2,4)+1),CELL("address",AF1127))</f>
        <v>$AF$1127</v>
      </c>
      <c r="P1127" s="98" t="str">
        <f ca="1">IF(J1126&gt;=10,(MID(O1127,1,1)&amp;MID(O1127,2,4)+1),CELL("address",AG1127))</f>
        <v>$AG$1127</v>
      </c>
      <c r="Q1127" s="98" t="str">
        <f ca="1">IF(J1126&gt;=11,(MID(P1127,1,1)&amp;MID(P1127,2,4)+1),CELL("address",AH1127))</f>
        <v>$AH$1127</v>
      </c>
      <c r="R1127" s="98" t="str">
        <f ca="1">IF(J1126&gt;=12,(MID(Q1127,1,1)&amp;MID(Q1127,2,4)+1),CELL("address",AI1127))</f>
        <v>$AI$1127</v>
      </c>
    </row>
    <row r="1128" spans="1:15" ht="15" customHeight="1">
      <c r="A1128" s="260"/>
      <c r="B1128" s="260"/>
      <c r="C1128" s="261"/>
      <c r="D1128" s="45" t="s">
        <v>31</v>
      </c>
      <c r="E1128" s="138">
        <v>0.125</v>
      </c>
      <c r="F1128" s="98"/>
      <c r="G1128" s="102" t="str">
        <f>CONCATENATE(D1128," - ",E1128,", ")</f>
        <v>Misc. Alumn. Scrap - 0.125, </v>
      </c>
      <c r="H1128" s="98"/>
      <c r="I1128" s="98"/>
      <c r="J1128" s="98"/>
      <c r="K1128" s="98"/>
      <c r="L1128" s="98"/>
      <c r="M1128" s="98"/>
      <c r="N1128" s="98"/>
      <c r="O1128" s="98"/>
    </row>
    <row r="1129" spans="1:15" ht="15" customHeight="1">
      <c r="A1129" s="260"/>
      <c r="B1129" s="260"/>
      <c r="C1129" s="261"/>
      <c r="D1129" s="40" t="s">
        <v>37</v>
      </c>
      <c r="E1129" s="138">
        <v>0.043</v>
      </c>
      <c r="F1129" s="98"/>
      <c r="G1129" s="102" t="str">
        <f>CONCATENATE(D1129," - ",E1129,", ")</f>
        <v>Burnt Cu scrap - 0.043, </v>
      </c>
      <c r="H1129" s="98"/>
      <c r="I1129" s="98" t="e">
        <f ca="1">IF(G1128&gt;=6,(MID(H1129,1,1)&amp;MID(H1129,2,4)+1),CELL("address",Z1129))</f>
        <v>#VALUE!</v>
      </c>
      <c r="J1129" s="98" t="e">
        <f ca="1">IF(G1128&gt;=7,(MID(I1129,1,1)&amp;MID(I1129,2,4)+1),CELL("address",AA1129))</f>
        <v>#VALUE!</v>
      </c>
      <c r="K1129" s="98" t="e">
        <f ca="1">IF(G1128&gt;=8,(MID(J1129,1,1)&amp;MID(J1129,2,4)+1),CELL("address",AB1129))</f>
        <v>#VALUE!</v>
      </c>
      <c r="L1129" s="98" t="e">
        <f ca="1">IF(G1128&gt;=9,(MID(K1129,1,1)&amp;MID(K1129,2,4)+1),CELL("address",AC1129))</f>
        <v>#VALUE!</v>
      </c>
      <c r="M1129" s="98" t="e">
        <f ca="1">IF(G1128&gt;=10,(MID(L1129,1,1)&amp;MID(L1129,2,4)+1),CELL("address",AD1129))</f>
        <v>#VALUE!</v>
      </c>
      <c r="N1129" s="98" t="e">
        <f ca="1">IF(G1128&gt;=11,(MID(M1129,1,1)&amp;MID(M1129,2,4)+1),CELL("address",AE1129))</f>
        <v>#VALUE!</v>
      </c>
      <c r="O1129" s="98" t="e">
        <f ca="1">IF(G1128&gt;=12,(MID(N1129,1,1)&amp;MID(N1129,2,4)+1),CELL("address",AF1129))</f>
        <v>#VALUE!</v>
      </c>
    </row>
    <row r="1130" spans="1:8" ht="15" customHeight="1">
      <c r="A1130" s="260"/>
      <c r="B1130" s="260"/>
      <c r="C1130" s="261"/>
      <c r="D1130" s="40" t="s">
        <v>27</v>
      </c>
      <c r="E1130" s="138">
        <v>0.177</v>
      </c>
      <c r="G1130" s="102" t="str">
        <f>CONCATENATE(D1130," - ",E1130,", ")</f>
        <v>Iron scrap - 0.177, </v>
      </c>
      <c r="H1130" s="1"/>
    </row>
    <row r="1131" spans="1:8" ht="15" customHeight="1">
      <c r="A1131" s="260"/>
      <c r="B1131" s="260"/>
      <c r="C1131" s="261"/>
      <c r="D1131" s="40" t="s">
        <v>58</v>
      </c>
      <c r="E1131" s="138">
        <v>1.053</v>
      </c>
      <c r="G1131" s="102" t="str">
        <f>CONCATENATE(D1131," - ",E1131,", ")</f>
        <v>Nuts &amp; Bolts scrap - 1.053, </v>
      </c>
      <c r="H1131" s="1"/>
    </row>
    <row r="1132" spans="1:8" ht="15" customHeight="1">
      <c r="A1132" s="1"/>
      <c r="B1132" s="1"/>
      <c r="C1132" s="1"/>
      <c r="D1132" s="1"/>
      <c r="E1132" s="1"/>
      <c r="H1132" s="1"/>
    </row>
    <row r="1133" spans="1:8" ht="14.25" customHeight="1">
      <c r="A1133" s="265"/>
      <c r="B1133" s="266"/>
      <c r="C1133" s="66"/>
      <c r="D1133" s="66"/>
      <c r="E1133" s="119">
        <f>SUM(E1135:E1136)</f>
        <v>0.649</v>
      </c>
      <c r="H1133" s="1"/>
    </row>
    <row r="1134" spans="1:18" ht="18.75" customHeight="1">
      <c r="A1134" s="260" t="s">
        <v>5</v>
      </c>
      <c r="B1134" s="260"/>
      <c r="C1134" s="64" t="s">
        <v>17</v>
      </c>
      <c r="D1134" s="65" t="s">
        <v>18</v>
      </c>
      <c r="E1134" s="68" t="s">
        <v>7</v>
      </c>
      <c r="G1134" s="174" t="str">
        <f>CONCATENATE("Misc. Healthy parts/ Non Ferrous  Scrap, Lying at ",C1135,". Quantity in MT - ")</f>
        <v>Misc. Healthy parts/ Non Ferrous  Scrap, Lying at TRY Patiala. Quantity in MT - </v>
      </c>
      <c r="H1134" s="268" t="str">
        <f ca="1">CONCATENATE(G1134,G1135,(INDIRECT(I1135)),(INDIRECT(J1135)),(INDIRECT(K1135)),(INDIRECT(L1135)),(INDIRECT(M1135)),(INDIRECT(N1135)),(INDIRECT(O1135)),(INDIRECT(P1135)),(INDIRECT(Q1135)),(INDIRECT(R1135)),".")</f>
        <v>Misc. Healthy parts/ Non Ferrous  Scrap, Lying at TRY Patiala. Quantity in MT - Brass scrap - 0.61, Misc. Alumn. Scrap - 0.039, .</v>
      </c>
      <c r="I1134" s="98" t="str">
        <f aca="true" ca="1" t="array" ref="I1134">CELL("address",INDEX(G1134:G1157,MATCH(TRUE,ISBLANK(G1134:G1157),0)))</f>
        <v>$G$1137</v>
      </c>
      <c r="J1134" s="98">
        <f aca="true" t="array" ref="J1134">MATCH(TRUE,ISBLANK(G1134:G1157),0)</f>
        <v>4</v>
      </c>
      <c r="K1134" s="98">
        <f>J1134-3</f>
        <v>1</v>
      </c>
      <c r="L1134" s="98"/>
      <c r="M1134" s="98"/>
      <c r="N1134" s="98"/>
      <c r="O1134" s="98"/>
      <c r="P1134" s="98"/>
      <c r="Q1134" s="98"/>
      <c r="R1134" s="98"/>
    </row>
    <row r="1135" spans="1:18" ht="18.75" customHeight="1">
      <c r="A1135" s="260" t="s">
        <v>455</v>
      </c>
      <c r="B1135" s="260"/>
      <c r="C1135" s="261" t="s">
        <v>120</v>
      </c>
      <c r="D1135" s="45" t="s">
        <v>23</v>
      </c>
      <c r="E1135" s="120">
        <v>0.61</v>
      </c>
      <c r="G1135" s="102" t="str">
        <f>CONCATENATE(D1135," - ",E1135,", ")</f>
        <v>Brass scrap - 0.61, </v>
      </c>
      <c r="H1135" s="268"/>
      <c r="I1135" s="98" t="str">
        <f ca="1">IF(J1134&gt;=3,(MID(I1134,2,1)&amp;MID(I1134,4,4)-K1134),CELL("address",Z1135))</f>
        <v>G1136</v>
      </c>
      <c r="J1135" s="98" t="str">
        <f ca="1">IF(J1134&gt;=4,(MID(I1135,1,1)&amp;MID(I1135,2,4)+1),CELL("address",AA1135))</f>
        <v>G1137</v>
      </c>
      <c r="K1135" s="98" t="str">
        <f ca="1">IF(J1134&gt;=5,(MID(J1135,1,1)&amp;MID(J1135,2,4)+1),CELL("address",AB1135))</f>
        <v>$AB$1135</v>
      </c>
      <c r="L1135" s="98" t="str">
        <f ca="1">IF(J1134&gt;=6,(MID(K1135,1,1)&amp;MID(K1135,2,4)+1),CELL("address",AC1135))</f>
        <v>$AC$1135</v>
      </c>
      <c r="M1135" s="98" t="str">
        <f ca="1">IF(J1134&gt;=7,(MID(L1135,1,1)&amp;MID(L1135,2,4)+1),CELL("address",AD1135))</f>
        <v>$AD$1135</v>
      </c>
      <c r="N1135" s="98" t="str">
        <f ca="1">IF(J1134&gt;=8,(MID(M1135,1,1)&amp;MID(M1135,2,4)+1),CELL("address",AE1135))</f>
        <v>$AE$1135</v>
      </c>
      <c r="O1135" s="98" t="str">
        <f ca="1">IF(J1134&gt;=9,(MID(N1135,1,1)&amp;MID(N1135,2,4)+1),CELL("address",AF1135))</f>
        <v>$AF$1135</v>
      </c>
      <c r="P1135" s="98" t="str">
        <f ca="1">IF(J1134&gt;=10,(MID(O1135,1,1)&amp;MID(O1135,2,4)+1),CELL("address",AG1135))</f>
        <v>$AG$1135</v>
      </c>
      <c r="Q1135" s="98" t="str">
        <f ca="1">IF(J1134&gt;=11,(MID(P1135,1,1)&amp;MID(P1135,2,4)+1),CELL("address",AH1135))</f>
        <v>$AH$1135</v>
      </c>
      <c r="R1135" s="98" t="str">
        <f ca="1">IF(J1134&gt;=12,(MID(Q1135,1,1)&amp;MID(Q1135,2,4)+1),CELL("address",AI1135))</f>
        <v>$AI$1135</v>
      </c>
    </row>
    <row r="1136" spans="1:8" ht="15.75" customHeight="1">
      <c r="A1136" s="260"/>
      <c r="B1136" s="260"/>
      <c r="C1136" s="261"/>
      <c r="D1136" s="45" t="s">
        <v>31</v>
      </c>
      <c r="E1136" s="68">
        <v>0.039</v>
      </c>
      <c r="G1136" s="102" t="str">
        <f>CONCATENATE(D1136," - ",E1136,", ")</f>
        <v>Misc. Alumn. Scrap - 0.039, </v>
      </c>
      <c r="H1136" s="1"/>
    </row>
    <row r="1137" spans="1:8" ht="14.25" customHeight="1">
      <c r="A1137" s="1"/>
      <c r="B1137" s="1"/>
      <c r="C1137" s="1"/>
      <c r="D1137" s="1"/>
      <c r="E1137" s="1"/>
      <c r="H1137" s="1"/>
    </row>
    <row r="1138" spans="1:8" ht="11.25" customHeight="1">
      <c r="A1138" s="265"/>
      <c r="B1138" s="266"/>
      <c r="C1138" s="66"/>
      <c r="D1138" s="66"/>
      <c r="E1138" s="67">
        <f>SUM(E1140:E1141)</f>
        <v>0.29000000000000004</v>
      </c>
      <c r="H1138" s="1"/>
    </row>
    <row r="1139" spans="1:18" ht="15" customHeight="1">
      <c r="A1139" s="260" t="s">
        <v>5</v>
      </c>
      <c r="B1139" s="260"/>
      <c r="C1139" s="64" t="s">
        <v>17</v>
      </c>
      <c r="D1139" s="65" t="s">
        <v>18</v>
      </c>
      <c r="E1139" s="64" t="s">
        <v>7</v>
      </c>
      <c r="G1139" s="174" t="str">
        <f>CONCATENATE("Misc. Healthy parts/ Non Ferrous  Scrap, Lying at ",C1140,". Quantity in MT - ")</f>
        <v>Misc. Healthy parts/ Non Ferrous  Scrap, Lying at TRY Ropar. Quantity in MT - </v>
      </c>
      <c r="H1139" s="268" t="str">
        <f ca="1">CONCATENATE(G1139,G1140,(INDIRECT(I1140)),(INDIRECT(J1140)),(INDIRECT(K1140)),(INDIRECT(L1140)),(INDIRECT(M1140)),(INDIRECT(N1140)),(INDIRECT(O1140)),(INDIRECT(P1140)),(INDIRECT(Q1140)),(INDIRECT(R1140)),".")</f>
        <v>Misc. Healthy parts/ Non Ferrous  Scrap, Lying at TRY Ropar. Quantity in MT - Misc. Alumn. Scrap - 0.154, Burnt Cu scrap - 0.136, .</v>
      </c>
      <c r="I1139" s="98" t="str">
        <f aca="true" ca="1" t="array" ref="I1139">CELL("address",INDEX(G1139:G1160,MATCH(TRUE,ISBLANK(G1139:G1160),0)))</f>
        <v>$G$1142</v>
      </c>
      <c r="J1139" s="98">
        <f aca="true" t="array" ref="J1139">MATCH(TRUE,ISBLANK(G1139:G1160),0)</f>
        <v>4</v>
      </c>
      <c r="K1139" s="98">
        <f>J1139-3</f>
        <v>1</v>
      </c>
      <c r="L1139" s="98"/>
      <c r="M1139" s="98"/>
      <c r="N1139" s="98"/>
      <c r="O1139" s="98"/>
      <c r="P1139" s="98"/>
      <c r="Q1139" s="98"/>
      <c r="R1139" s="98"/>
    </row>
    <row r="1140" spans="1:18" ht="15" customHeight="1">
      <c r="A1140" s="260" t="s">
        <v>561</v>
      </c>
      <c r="B1140" s="260"/>
      <c r="C1140" s="261" t="s">
        <v>143</v>
      </c>
      <c r="D1140" s="45" t="s">
        <v>31</v>
      </c>
      <c r="E1140" s="45">
        <v>0.154</v>
      </c>
      <c r="G1140" s="102" t="str">
        <f>CONCATENATE(D1140," - ",E1140,", ")</f>
        <v>Misc. Alumn. Scrap - 0.154, </v>
      </c>
      <c r="H1140" s="268"/>
      <c r="I1140" s="98" t="str">
        <f ca="1">IF(J1139&gt;=3,(MID(I1139,2,1)&amp;MID(I1139,4,4)-K1139),CELL("address",Z1140))</f>
        <v>G1141</v>
      </c>
      <c r="J1140" s="98" t="str">
        <f ca="1">IF(J1139&gt;=4,(MID(I1140,1,1)&amp;MID(I1140,2,4)+1),CELL("address",AA1140))</f>
        <v>G1142</v>
      </c>
      <c r="K1140" s="98" t="str">
        <f ca="1">IF(J1139&gt;=5,(MID(J1140,1,1)&amp;MID(J1140,2,4)+1),CELL("address",AB1140))</f>
        <v>$AB$1140</v>
      </c>
      <c r="L1140" s="98" t="str">
        <f ca="1">IF(J1139&gt;=6,(MID(K1140,1,1)&amp;MID(K1140,2,4)+1),CELL("address",AC1140))</f>
        <v>$AC$1140</v>
      </c>
      <c r="M1140" s="98" t="str">
        <f ca="1">IF(J1139&gt;=7,(MID(L1140,1,1)&amp;MID(L1140,2,4)+1),CELL("address",AD1140))</f>
        <v>$AD$1140</v>
      </c>
      <c r="N1140" s="98" t="str">
        <f ca="1">IF(J1139&gt;=8,(MID(M1140,1,1)&amp;MID(M1140,2,4)+1),CELL("address",AE1140))</f>
        <v>$AE$1140</v>
      </c>
      <c r="O1140" s="98" t="str">
        <f ca="1">IF(J1139&gt;=9,(MID(N1140,1,1)&amp;MID(N1140,2,4)+1),CELL("address",AF1140))</f>
        <v>$AF$1140</v>
      </c>
      <c r="P1140" s="98" t="str">
        <f ca="1">IF(J1139&gt;=10,(MID(O1140,1,1)&amp;MID(O1140,2,4)+1),CELL("address",AG1140))</f>
        <v>$AG$1140</v>
      </c>
      <c r="Q1140" s="98" t="str">
        <f ca="1">IF(J1139&gt;=11,(MID(P1140,1,1)&amp;MID(P1140,2,4)+1),CELL("address",AH1140))</f>
        <v>$AH$1140</v>
      </c>
      <c r="R1140" s="98" t="str">
        <f ca="1">IF(J1139&gt;=12,(MID(Q1140,1,1)&amp;MID(Q1140,2,4)+1),CELL("address",AI1140))</f>
        <v>$AI$1140</v>
      </c>
    </row>
    <row r="1141" spans="1:8" ht="15" customHeight="1">
      <c r="A1141" s="260"/>
      <c r="B1141" s="260"/>
      <c r="C1141" s="261"/>
      <c r="D1141" s="40" t="s">
        <v>37</v>
      </c>
      <c r="E1141" s="64">
        <v>0.136</v>
      </c>
      <c r="G1141" s="102" t="str">
        <f>CONCATENATE(D1141," - ",E1141,", ")</f>
        <v>Burnt Cu scrap - 0.136, </v>
      </c>
      <c r="H1141" s="1"/>
    </row>
    <row r="1142" spans="1:8" ht="15" customHeight="1">
      <c r="A1142" s="1"/>
      <c r="B1142" s="1"/>
      <c r="C1142" s="1"/>
      <c r="D1142" s="1"/>
      <c r="E1142" s="1"/>
      <c r="H1142" s="1"/>
    </row>
    <row r="1143" spans="1:8" ht="15" customHeight="1">
      <c r="A1143" s="265"/>
      <c r="B1143" s="266"/>
      <c r="C1143" s="66"/>
      <c r="D1143" s="66"/>
      <c r="E1143" s="119">
        <f>SUM(E1145:E1146)</f>
        <v>0.09</v>
      </c>
      <c r="H1143" s="1"/>
    </row>
    <row r="1144" spans="1:18" ht="15" customHeight="1">
      <c r="A1144" s="260" t="s">
        <v>5</v>
      </c>
      <c r="B1144" s="260"/>
      <c r="C1144" s="64" t="s">
        <v>17</v>
      </c>
      <c r="D1144" s="65" t="s">
        <v>18</v>
      </c>
      <c r="E1144" s="68" t="s">
        <v>7</v>
      </c>
      <c r="G1144" s="174" t="str">
        <f>CONCATENATE("Misc. Healthy parts/ Non Ferrous  Scrap, Lying at ",C1145,". Quantity in MT - ")</f>
        <v>Misc. Healthy parts/ Non Ferrous  Scrap, Lying at TRY Kotkapura. Quantity in MT - </v>
      </c>
      <c r="H1144" s="268" t="str">
        <f ca="1">CONCATENATE(G1144,G1145,(INDIRECT(I1145)),(INDIRECT(J1145)),(INDIRECT(K1145)),(INDIRECT(L1145)),(INDIRECT(M1145)),(INDIRECT(N1145)),(INDIRECT(O1145)),(INDIRECT(P1145)),(INDIRECT(Q1145)),(INDIRECT(R1145)),".")</f>
        <v>Misc. Healthy parts/ Non Ferrous  Scrap, Lying at TRY Kotkapura. Quantity in MT - Misc. Alumn. Scrap - 0.044, Iron scrap - 0.046, .</v>
      </c>
      <c r="I1144" s="98" t="str">
        <f aca="true" ca="1" t="array" ref="I1144">CELL("address",INDEX(G1144:G1165,MATCH(TRUE,ISBLANK(G1144:G1165),0)))</f>
        <v>$G$1147</v>
      </c>
      <c r="J1144" s="98">
        <f aca="true" t="array" ref="J1144">MATCH(TRUE,ISBLANK(G1144:G1165),0)</f>
        <v>4</v>
      </c>
      <c r="K1144" s="98">
        <f>J1144-3</f>
        <v>1</v>
      </c>
      <c r="L1144" s="98"/>
      <c r="M1144" s="98"/>
      <c r="N1144" s="98"/>
      <c r="O1144" s="98"/>
      <c r="P1144" s="98"/>
      <c r="Q1144" s="98"/>
      <c r="R1144" s="98"/>
    </row>
    <row r="1145" spans="1:18" ht="15" customHeight="1">
      <c r="A1145" s="275" t="s">
        <v>642</v>
      </c>
      <c r="B1145" s="276"/>
      <c r="C1145" s="277" t="s">
        <v>247</v>
      </c>
      <c r="D1145" s="45" t="s">
        <v>31</v>
      </c>
      <c r="E1145" s="68">
        <v>0.044</v>
      </c>
      <c r="G1145" s="102" t="str">
        <f>CONCATENATE(D1145," - ",E1145,", ")</f>
        <v>Misc. Alumn. Scrap - 0.044, </v>
      </c>
      <c r="H1145" s="268"/>
      <c r="I1145" s="98" t="str">
        <f ca="1">IF(J1144&gt;=3,(MID(I1144,2,1)&amp;MID(I1144,4,4)-K1144),CELL("address",Z1145))</f>
        <v>G1146</v>
      </c>
      <c r="J1145" s="98" t="str">
        <f ca="1">IF(J1144&gt;=4,(MID(I1145,1,1)&amp;MID(I1145,2,4)+1),CELL("address",AA1145))</f>
        <v>G1147</v>
      </c>
      <c r="K1145" s="98" t="str">
        <f ca="1">IF(J1144&gt;=5,(MID(J1145,1,1)&amp;MID(J1145,2,4)+1),CELL("address",AB1145))</f>
        <v>$AB$1145</v>
      </c>
      <c r="L1145" s="98" t="str">
        <f ca="1">IF(J1144&gt;=6,(MID(K1145,1,1)&amp;MID(K1145,2,4)+1),CELL("address",AC1145))</f>
        <v>$AC$1145</v>
      </c>
      <c r="M1145" s="98" t="str">
        <f ca="1">IF(J1144&gt;=7,(MID(L1145,1,1)&amp;MID(L1145,2,4)+1),CELL("address",AD1145))</f>
        <v>$AD$1145</v>
      </c>
      <c r="N1145" s="98" t="str">
        <f ca="1">IF(J1144&gt;=8,(MID(M1145,1,1)&amp;MID(M1145,2,4)+1),CELL("address",AE1145))</f>
        <v>$AE$1145</v>
      </c>
      <c r="O1145" s="98" t="str">
        <f ca="1">IF(J1144&gt;=9,(MID(N1145,1,1)&amp;MID(N1145,2,4)+1),CELL("address",AF1145))</f>
        <v>$AF$1145</v>
      </c>
      <c r="P1145" s="98" t="str">
        <f ca="1">IF(J1144&gt;=10,(MID(O1145,1,1)&amp;MID(O1145,2,4)+1),CELL("address",AG1145))</f>
        <v>$AG$1145</v>
      </c>
      <c r="Q1145" s="98" t="str">
        <f ca="1">IF(J1144&gt;=11,(MID(P1145,1,1)&amp;MID(P1145,2,4)+1),CELL("address",AH1145))</f>
        <v>$AH$1145</v>
      </c>
      <c r="R1145" s="98" t="str">
        <f ca="1">IF(J1144&gt;=12,(MID(Q1145,1,1)&amp;MID(Q1145,2,4)+1),CELL("address",AI1145))</f>
        <v>$AI$1145</v>
      </c>
    </row>
    <row r="1146" spans="1:8" ht="15" customHeight="1">
      <c r="A1146" s="283"/>
      <c r="B1146" s="284"/>
      <c r="C1146" s="287"/>
      <c r="D1146" s="40" t="s">
        <v>27</v>
      </c>
      <c r="E1146" s="68">
        <v>0.046</v>
      </c>
      <c r="G1146" s="102" t="str">
        <f>CONCATENATE(D1146," - ",E1146,", ")</f>
        <v>Iron scrap - 0.046, </v>
      </c>
      <c r="H1146" s="1"/>
    </row>
    <row r="1147" spans="1:8" ht="13.5" customHeight="1">
      <c r="A1147" s="1"/>
      <c r="B1147" s="1"/>
      <c r="C1147" s="1"/>
      <c r="D1147" s="1"/>
      <c r="E1147" s="1"/>
      <c r="H1147" s="1"/>
    </row>
    <row r="1148" spans="1:8" ht="13.5" customHeight="1">
      <c r="A1148" s="265"/>
      <c r="B1148" s="266"/>
      <c r="C1148" s="66"/>
      <c r="D1148" s="66"/>
      <c r="E1148" s="119">
        <f>SUM(E1150:E1151)</f>
        <v>0.007</v>
      </c>
      <c r="H1148" s="1"/>
    </row>
    <row r="1149" spans="1:18" ht="15" customHeight="1">
      <c r="A1149" s="260" t="s">
        <v>5</v>
      </c>
      <c r="B1149" s="260"/>
      <c r="C1149" s="64" t="s">
        <v>17</v>
      </c>
      <c r="D1149" s="65" t="s">
        <v>18</v>
      </c>
      <c r="E1149" s="68" t="s">
        <v>7</v>
      </c>
      <c r="G1149" s="174" t="str">
        <f>CONCATENATE("Misc. Healthy parts/ Non Ferrous  Scrap, Lying at ",C1150,". Quantity in MT - ")</f>
        <v>Misc. Healthy parts/ Non Ferrous  Scrap, Lying at TRY Moga. Quantity in MT - </v>
      </c>
      <c r="H1149" s="268" t="str">
        <f ca="1">CONCATENATE(G1149,G1150,(INDIRECT(I1150)),(INDIRECT(J1150)),(INDIRECT(K1150)),(INDIRECT(L1150)),(INDIRECT(M1150)),(INDIRECT(N1150)),(INDIRECT(O1150)),(INDIRECT(P1150)),(INDIRECT(Q1150)),(INDIRECT(R1150)),".")</f>
        <v>Misc. Healthy parts/ Non Ferrous  Scrap, Lying at TRY Moga. Quantity in MT - Misc. Alumn. Scrap - 0.004, Iron scrap - 0.003, .</v>
      </c>
      <c r="I1149" s="98" t="str">
        <f aca="true" ca="1" t="array" ref="I1149">CELL("address",INDEX(G1149:G1171,MATCH(TRUE,ISBLANK(G1149:G1171),0)))</f>
        <v>$G$1152</v>
      </c>
      <c r="J1149" s="98">
        <f aca="true" t="array" ref="J1149">MATCH(TRUE,ISBLANK(G1149:G1171),0)</f>
        <v>4</v>
      </c>
      <c r="K1149" s="98">
        <f>J1149-3</f>
        <v>1</v>
      </c>
      <c r="L1149" s="98"/>
      <c r="M1149" s="98"/>
      <c r="N1149" s="98"/>
      <c r="O1149" s="98"/>
      <c r="P1149" s="98"/>
      <c r="Q1149" s="98"/>
      <c r="R1149" s="98"/>
    </row>
    <row r="1150" spans="1:18" ht="15" customHeight="1">
      <c r="A1150" s="260" t="s">
        <v>643</v>
      </c>
      <c r="B1150" s="260"/>
      <c r="C1150" s="261" t="s">
        <v>222</v>
      </c>
      <c r="D1150" s="45" t="s">
        <v>31</v>
      </c>
      <c r="E1150" s="120">
        <v>0.004</v>
      </c>
      <c r="G1150" s="102" t="str">
        <f>CONCATENATE(D1150," - ",E1150,", ")</f>
        <v>Misc. Alumn. Scrap - 0.004, </v>
      </c>
      <c r="H1150" s="268"/>
      <c r="I1150" s="98" t="str">
        <f ca="1">IF(J1149&gt;=3,(MID(I1149,2,1)&amp;MID(I1149,4,4)-K1149),CELL("address",Z1150))</f>
        <v>G1151</v>
      </c>
      <c r="J1150" s="98" t="str">
        <f ca="1">IF(J1149&gt;=4,(MID(I1150,1,1)&amp;MID(I1150,2,4)+1),CELL("address",AA1150))</f>
        <v>G1152</v>
      </c>
      <c r="K1150" s="98" t="str">
        <f ca="1">IF(J1149&gt;=5,(MID(J1150,1,1)&amp;MID(J1150,2,4)+1),CELL("address",AB1150))</f>
        <v>$AB$1150</v>
      </c>
      <c r="L1150" s="98" t="str">
        <f ca="1">IF(J1149&gt;=6,(MID(K1150,1,1)&amp;MID(K1150,2,4)+1),CELL("address",AC1150))</f>
        <v>$AC$1150</v>
      </c>
      <c r="M1150" s="98" t="str">
        <f ca="1">IF(J1149&gt;=7,(MID(L1150,1,1)&amp;MID(L1150,2,4)+1),CELL("address",AD1150))</f>
        <v>$AD$1150</v>
      </c>
      <c r="N1150" s="98" t="str">
        <f ca="1">IF(J1149&gt;=8,(MID(M1150,1,1)&amp;MID(M1150,2,4)+1),CELL("address",AE1150))</f>
        <v>$AE$1150</v>
      </c>
      <c r="O1150" s="98" t="str">
        <f ca="1">IF(J1149&gt;=9,(MID(N1150,1,1)&amp;MID(N1150,2,4)+1),CELL("address",AF1150))</f>
        <v>$AF$1150</v>
      </c>
      <c r="P1150" s="98" t="str">
        <f ca="1">IF(J1149&gt;=10,(MID(O1150,1,1)&amp;MID(O1150,2,4)+1),CELL("address",AG1150))</f>
        <v>$AG$1150</v>
      </c>
      <c r="Q1150" s="98" t="str">
        <f ca="1">IF(J1149&gt;=11,(MID(P1150,1,1)&amp;MID(P1150,2,4)+1),CELL("address",AH1150))</f>
        <v>$AH$1150</v>
      </c>
      <c r="R1150" s="98" t="str">
        <f ca="1">IF(J1149&gt;=12,(MID(Q1150,1,1)&amp;MID(Q1150,2,4)+1),CELL("address",AI1150))</f>
        <v>$AI$1150</v>
      </c>
    </row>
    <row r="1151" spans="1:8" ht="15" customHeight="1">
      <c r="A1151" s="260"/>
      <c r="B1151" s="260"/>
      <c r="C1151" s="261"/>
      <c r="D1151" s="40" t="s">
        <v>27</v>
      </c>
      <c r="E1151" s="68">
        <v>0.003</v>
      </c>
      <c r="G1151" s="102" t="str">
        <f>CONCATENATE(D1151," - ",E1151,", ")</f>
        <v>Iron scrap - 0.003, </v>
      </c>
      <c r="H1151" s="1"/>
    </row>
    <row r="1152" spans="1:8" ht="15" customHeight="1">
      <c r="A1152" s="1"/>
      <c r="B1152" s="1"/>
      <c r="C1152" s="1"/>
      <c r="D1152" s="1"/>
      <c r="E1152" s="1"/>
      <c r="H1152" s="1"/>
    </row>
    <row r="1153" spans="1:8" ht="15" customHeight="1">
      <c r="A1153" s="265"/>
      <c r="B1153" s="266"/>
      <c r="C1153" s="66"/>
      <c r="D1153" s="66"/>
      <c r="E1153" s="119">
        <f>SUM(E1155:E1156)</f>
        <v>0.099</v>
      </c>
      <c r="H1153" s="1"/>
    </row>
    <row r="1154" spans="1:18" ht="15" customHeight="1">
      <c r="A1154" s="260" t="s">
        <v>5</v>
      </c>
      <c r="B1154" s="260"/>
      <c r="C1154" s="64" t="s">
        <v>17</v>
      </c>
      <c r="D1154" s="65" t="s">
        <v>18</v>
      </c>
      <c r="E1154" s="68" t="s">
        <v>7</v>
      </c>
      <c r="G1154" s="174" t="str">
        <f>CONCATENATE("Misc. Healthy parts/ Non Ferrous  Scrap, Lying at ",C1155,". Quantity in MT - ")</f>
        <v>Misc. Healthy parts/ Non Ferrous  Scrap, Lying at OL Nabha. Quantity in MT - </v>
      </c>
      <c r="H1154" s="268" t="str">
        <f ca="1">CONCATENATE(G1154,G1155,(INDIRECT(I1155)),(INDIRECT(J1155)),(INDIRECT(K1155)),(INDIRECT(L1155)),(INDIRECT(M1155)),(INDIRECT(N1155)),(INDIRECT(O1155)),(INDIRECT(P1155)),(INDIRECT(Q1155)),(INDIRECT(R1155)),".")</f>
        <v>Misc. Healthy parts/ Non Ferrous  Scrap, Lying at OL Nabha. Quantity in MT - Misc. Alumn. Scrap - 0.007, Misc. copper scrap - 0.092, .</v>
      </c>
      <c r="I1154" s="98" t="str">
        <f aca="true" ca="1" t="array" ref="I1154">CELL("address",INDEX(G1154:G1176,MATCH(TRUE,ISBLANK(G1154:G1176),0)))</f>
        <v>$G$1157</v>
      </c>
      <c r="J1154" s="98">
        <f aca="true" t="array" ref="J1154">MATCH(TRUE,ISBLANK(G1154:G1176),0)</f>
        <v>4</v>
      </c>
      <c r="K1154" s="98">
        <f>J1154-3</f>
        <v>1</v>
      </c>
      <c r="L1154" s="98"/>
      <c r="M1154" s="98"/>
      <c r="N1154" s="98"/>
      <c r="O1154" s="98"/>
      <c r="P1154" s="98"/>
      <c r="Q1154" s="98"/>
      <c r="R1154" s="98"/>
    </row>
    <row r="1155" spans="1:18" ht="15" customHeight="1">
      <c r="A1155" s="260" t="s">
        <v>644</v>
      </c>
      <c r="B1155" s="260"/>
      <c r="C1155" s="261" t="s">
        <v>104</v>
      </c>
      <c r="D1155" s="45" t="s">
        <v>31</v>
      </c>
      <c r="E1155" s="120">
        <v>0.007</v>
      </c>
      <c r="G1155" s="102" t="str">
        <f>CONCATENATE(D1155," - ",E1155,", ")</f>
        <v>Misc. Alumn. Scrap - 0.007, </v>
      </c>
      <c r="H1155" s="268"/>
      <c r="I1155" s="98" t="str">
        <f ca="1">IF(J1154&gt;=3,(MID(I1154,2,1)&amp;MID(I1154,4,4)-K1154),CELL("address",Z1155))</f>
        <v>G1156</v>
      </c>
      <c r="J1155" s="98" t="str">
        <f ca="1">IF(J1154&gt;=4,(MID(I1155,1,1)&amp;MID(I1155,2,4)+1),CELL("address",AA1155))</f>
        <v>G1157</v>
      </c>
      <c r="K1155" s="98" t="str">
        <f ca="1">IF(J1154&gt;=5,(MID(J1155,1,1)&amp;MID(J1155,2,4)+1),CELL("address",AB1155))</f>
        <v>$AB$1155</v>
      </c>
      <c r="L1155" s="98" t="str">
        <f ca="1">IF(J1154&gt;=6,(MID(K1155,1,1)&amp;MID(K1155,2,4)+1),CELL("address",AC1155))</f>
        <v>$AC$1155</v>
      </c>
      <c r="M1155" s="98" t="str">
        <f ca="1">IF(J1154&gt;=7,(MID(L1155,1,1)&amp;MID(L1155,2,4)+1),CELL("address",AD1155))</f>
        <v>$AD$1155</v>
      </c>
      <c r="N1155" s="98" t="str">
        <f ca="1">IF(J1154&gt;=8,(MID(M1155,1,1)&amp;MID(M1155,2,4)+1),CELL("address",AE1155))</f>
        <v>$AE$1155</v>
      </c>
      <c r="O1155" s="98" t="str">
        <f ca="1">IF(J1154&gt;=9,(MID(N1155,1,1)&amp;MID(N1155,2,4)+1),CELL("address",AF1155))</f>
        <v>$AF$1155</v>
      </c>
      <c r="P1155" s="98" t="str">
        <f ca="1">IF(J1154&gt;=10,(MID(O1155,1,1)&amp;MID(O1155,2,4)+1),CELL("address",AG1155))</f>
        <v>$AG$1155</v>
      </c>
      <c r="Q1155" s="98" t="str">
        <f ca="1">IF(J1154&gt;=11,(MID(P1155,1,1)&amp;MID(P1155,2,4)+1),CELL("address",AH1155))</f>
        <v>$AH$1155</v>
      </c>
      <c r="R1155" s="98" t="str">
        <f ca="1">IF(J1154&gt;=12,(MID(Q1155,1,1)&amp;MID(Q1155,2,4)+1),CELL("address",AI1155))</f>
        <v>$AI$1155</v>
      </c>
    </row>
    <row r="1156" spans="1:8" ht="15" customHeight="1">
      <c r="A1156" s="260"/>
      <c r="B1156" s="260"/>
      <c r="C1156" s="261"/>
      <c r="D1156" s="60" t="s">
        <v>111</v>
      </c>
      <c r="E1156" s="68">
        <v>0.092</v>
      </c>
      <c r="G1156" s="102" t="str">
        <f>CONCATENATE(D1156," - ",E1156,", ")</f>
        <v>Misc. copper scrap - 0.092, </v>
      </c>
      <c r="H1156" s="1"/>
    </row>
    <row r="1157" spans="1:8" ht="15" customHeight="1">
      <c r="A1157" s="1"/>
      <c r="B1157" s="1"/>
      <c r="C1157" s="1"/>
      <c r="D1157" s="1"/>
      <c r="E1157" s="1"/>
      <c r="H1157" s="1"/>
    </row>
    <row r="1158" spans="1:8" ht="15" customHeight="1">
      <c r="A1158" s="265"/>
      <c r="B1158" s="266"/>
      <c r="C1158" s="66"/>
      <c r="D1158" s="66"/>
      <c r="E1158" s="67">
        <f>SUM(E1160:E1160)</f>
        <v>2</v>
      </c>
      <c r="H1158" s="1"/>
    </row>
    <row r="1159" spans="1:18" ht="15" customHeight="1">
      <c r="A1159" s="260" t="s">
        <v>5</v>
      </c>
      <c r="B1159" s="260"/>
      <c r="C1159" s="64" t="s">
        <v>17</v>
      </c>
      <c r="D1159" s="65" t="s">
        <v>18</v>
      </c>
      <c r="E1159" s="64" t="s">
        <v>7</v>
      </c>
      <c r="G1159" s="174" t="str">
        <f>CONCATENATE("Misc. Healthy parts/ Non Ferrous  Scrap, Lying at ",C1160,". Quantity in MT - ")</f>
        <v>Misc. Healthy parts/ Non Ferrous  Scrap, Lying at TRY Malerkotla. Quantity in MT - </v>
      </c>
      <c r="H1159" s="268" t="str">
        <f ca="1">CONCATENATE(G1159,G1160,(INDIRECT(I1160)),(INDIRECT(J1160)),(INDIRECT(K1160)),(INDIRECT(L1160)),(INDIRECT(M1160)),(INDIRECT(N1160)),(INDIRECT(O1160)),(INDIRECT(P1160)),(INDIRECT(Q1160)),(INDIRECT(R1160)),".")</f>
        <v>Misc. Healthy parts/ Non Ferrous  Scrap, Lying at TRY Malerkotla. Quantity in MT - Brass scrap - 2, .</v>
      </c>
      <c r="I1159" s="98" t="str">
        <f aca="true" ca="1" t="array" ref="I1159">CELL("address",INDEX(G1159:G1181,MATCH(TRUE,ISBLANK(G1159:G1181),0)))</f>
        <v>$G$1161</v>
      </c>
      <c r="J1159" s="98">
        <f aca="true" t="array" ref="J1159">MATCH(TRUE,ISBLANK(G1159:G1181),0)</f>
        <v>3</v>
      </c>
      <c r="K1159" s="98">
        <f>J1159-3</f>
        <v>0</v>
      </c>
      <c r="L1159" s="98"/>
      <c r="M1159" s="98"/>
      <c r="N1159" s="98"/>
      <c r="O1159" s="98"/>
      <c r="P1159" s="98"/>
      <c r="Q1159" s="98"/>
      <c r="R1159" s="98"/>
    </row>
    <row r="1160" spans="1:24" ht="15" customHeight="1">
      <c r="A1160" s="260" t="s">
        <v>649</v>
      </c>
      <c r="B1160" s="260"/>
      <c r="C1160" s="221" t="s">
        <v>28</v>
      </c>
      <c r="D1160" s="45" t="s">
        <v>23</v>
      </c>
      <c r="E1160" s="47">
        <v>2</v>
      </c>
      <c r="G1160" s="102" t="str">
        <f>CONCATENATE(D1160," - ",E1160,", ")</f>
        <v>Brass scrap - 2, </v>
      </c>
      <c r="H1160" s="268"/>
      <c r="I1160" s="98" t="str">
        <f ca="1">IF(J1159&gt;=3,(MID(I1159,2,1)&amp;MID(I1159,4,4)-K1159),CELL("address",Z1160))</f>
        <v>G1161</v>
      </c>
      <c r="J1160" s="98" t="str">
        <f ca="1">IF(J1159&gt;=4,(MID(I1160,1,1)&amp;MID(I1160,2,4)+1),CELL("address",AA1160))</f>
        <v>$AA$1160</v>
      </c>
      <c r="K1160" s="98" t="str">
        <f ca="1">IF(J1159&gt;=5,(MID(J1160,1,1)&amp;MID(J1160,2,4)+1),CELL("address",AB1160))</f>
        <v>$AB$1160</v>
      </c>
      <c r="L1160" s="98" t="str">
        <f ca="1">IF(J1159&gt;=6,(MID(K1160,1,1)&amp;MID(K1160,2,4)+1),CELL("address",AC1160))</f>
        <v>$AC$1160</v>
      </c>
      <c r="M1160" s="98" t="str">
        <f ca="1">IF(J1159&gt;=7,(MID(L1160,1,1)&amp;MID(L1160,2,4)+1),CELL("address",AD1160))</f>
        <v>$AD$1160</v>
      </c>
      <c r="N1160" s="98" t="str">
        <f ca="1">IF(J1159&gt;=8,(MID(M1160,1,1)&amp;MID(M1160,2,4)+1),CELL("address",AE1160))</f>
        <v>$AE$1160</v>
      </c>
      <c r="O1160" s="98" t="str">
        <f ca="1">IF(J1159&gt;=9,(MID(N1160,1,1)&amp;MID(N1160,2,4)+1),CELL("address",AF1160))</f>
        <v>$AF$1160</v>
      </c>
      <c r="P1160" s="98" t="str">
        <f ca="1">IF(J1159&gt;=10,(MID(O1160,1,1)&amp;MID(O1160,2,4)+1),CELL("address",AG1160))</f>
        <v>$AG$1160</v>
      </c>
      <c r="Q1160" s="98" t="str">
        <f ca="1">IF(J1159&gt;=11,(MID(P1160,1,1)&amp;MID(P1160,2,4)+1),CELL("address",AH1160))</f>
        <v>$AH$1160</v>
      </c>
      <c r="R1160" s="98" t="str">
        <f ca="1">IF(J1159&gt;=12,(MID(Q1160,1,1)&amp;MID(Q1160,2,4)+1),CELL("address",AI1160))</f>
        <v>$AI$1160</v>
      </c>
      <c r="T1160" s="267" t="s">
        <v>650</v>
      </c>
      <c r="U1160" s="267"/>
      <c r="V1160" s="267"/>
      <c r="W1160" s="267"/>
      <c r="X1160" s="267"/>
    </row>
    <row r="1161" spans="1:8" ht="15" customHeight="1">
      <c r="A1161" s="1"/>
      <c r="B1161" s="1"/>
      <c r="C1161" s="1"/>
      <c r="D1161" s="1"/>
      <c r="E1161" s="1"/>
      <c r="H1161" s="1"/>
    </row>
    <row r="1162" spans="1:8" ht="15" customHeight="1">
      <c r="A1162" s="265"/>
      <c r="B1162" s="266"/>
      <c r="C1162" s="66"/>
      <c r="D1162" s="66"/>
      <c r="E1162" s="67">
        <f>SUM(E1164:E1166)</f>
        <v>2.1039999999999996</v>
      </c>
      <c r="H1162" s="1"/>
    </row>
    <row r="1163" spans="1:18" ht="15" customHeight="1">
      <c r="A1163" s="260" t="s">
        <v>5</v>
      </c>
      <c r="B1163" s="260"/>
      <c r="C1163" s="64" t="s">
        <v>17</v>
      </c>
      <c r="D1163" s="65" t="s">
        <v>18</v>
      </c>
      <c r="E1163" s="64" t="s">
        <v>7</v>
      </c>
      <c r="G1163" s="174" t="str">
        <f>CONCATENATE("Misc. Healthy parts/ Non Ferrous  Scrap, Lying at ",C1164,". Quantity in MT - ")</f>
        <v>Misc. Healthy parts/ Non Ferrous  Scrap, Lying at TRY Malout. Quantity in MT - </v>
      </c>
      <c r="H1163" s="268" t="str">
        <f ca="1">CONCATENATE(G1163,G1164,(INDIRECT(I1164)),(INDIRECT(J1164)),(INDIRECT(K1164)),(INDIRECT(L1164)),(INDIRECT(M1164)),(INDIRECT(N1164)),(INDIRECT(O1164)),(INDIRECT(P1164)),(INDIRECT(Q1164)),(INDIRECT(R1164)),".")</f>
        <v>Misc. Healthy parts/ Non Ferrous  Scrap, Lying at TRY Malout. Quantity in MT - Brass scrap - 1.9, Misc. Alumn. Scrap - 0.186, Iron scrap - 0.018, .</v>
      </c>
      <c r="I1163" s="98" t="str">
        <f aca="true" ca="1" t="array" ref="I1163">CELL("address",INDEX(G1163:G1185,MATCH(TRUE,ISBLANK(G1163:G1185),0)))</f>
        <v>$G$1167</v>
      </c>
      <c r="J1163" s="98">
        <f aca="true" t="array" ref="J1163">MATCH(TRUE,ISBLANK(G1163:G1185),0)</f>
        <v>5</v>
      </c>
      <c r="K1163" s="98">
        <f>J1163-3</f>
        <v>2</v>
      </c>
      <c r="L1163" s="98"/>
      <c r="M1163" s="98"/>
      <c r="N1163" s="98"/>
      <c r="O1163" s="98"/>
      <c r="P1163" s="98"/>
      <c r="Q1163" s="98"/>
      <c r="R1163" s="98"/>
    </row>
    <row r="1164" spans="1:18" ht="15" customHeight="1">
      <c r="A1164" s="260" t="s">
        <v>701</v>
      </c>
      <c r="B1164" s="260"/>
      <c r="C1164" s="261" t="s">
        <v>164</v>
      </c>
      <c r="D1164" s="34" t="s">
        <v>23</v>
      </c>
      <c r="E1164" s="49">
        <v>1.9</v>
      </c>
      <c r="F1164" s="1" t="s">
        <v>702</v>
      </c>
      <c r="G1164" s="102" t="str">
        <f>CONCATENATE(D1164," - ",E1164,", ")</f>
        <v>Brass scrap - 1.9, </v>
      </c>
      <c r="H1164" s="268"/>
      <c r="I1164" s="98" t="str">
        <f ca="1">IF(J1163&gt;=3,(MID(I1163,2,1)&amp;MID(I1163,4,4)-K1163),CELL("address",Z1164))</f>
        <v>G1165</v>
      </c>
      <c r="J1164" s="98" t="str">
        <f ca="1">IF(J1163&gt;=4,(MID(I1164,1,1)&amp;MID(I1164,2,4)+1),CELL("address",AA1164))</f>
        <v>G1166</v>
      </c>
      <c r="K1164" s="98" t="str">
        <f ca="1">IF(J1163&gt;=5,(MID(J1164,1,1)&amp;MID(J1164,2,4)+1),CELL("address",AB1164))</f>
        <v>G1167</v>
      </c>
      <c r="L1164" s="98" t="str">
        <f ca="1">IF(J1163&gt;=6,(MID(K1164,1,1)&amp;MID(K1164,2,4)+1),CELL("address",AC1164))</f>
        <v>$AC$1164</v>
      </c>
      <c r="M1164" s="98" t="str">
        <f ca="1">IF(J1163&gt;=7,(MID(L1164,1,1)&amp;MID(L1164,2,4)+1),CELL("address",AD1164))</f>
        <v>$AD$1164</v>
      </c>
      <c r="N1164" s="98" t="str">
        <f ca="1">IF(J1163&gt;=8,(MID(M1164,1,1)&amp;MID(M1164,2,4)+1),CELL("address",AE1164))</f>
        <v>$AE$1164</v>
      </c>
      <c r="O1164" s="98" t="str">
        <f ca="1">IF(J1163&gt;=9,(MID(N1164,1,1)&amp;MID(N1164,2,4)+1),CELL("address",AF1164))</f>
        <v>$AF$1164</v>
      </c>
      <c r="P1164" s="98" t="str">
        <f ca="1">IF(J1163&gt;=10,(MID(O1164,1,1)&amp;MID(O1164,2,4)+1),CELL("address",AG1164))</f>
        <v>$AG$1164</v>
      </c>
      <c r="Q1164" s="98" t="str">
        <f ca="1">IF(J1163&gt;=11,(MID(P1164,1,1)&amp;MID(P1164,2,4)+1),CELL("address",AH1164))</f>
        <v>$AH$1164</v>
      </c>
      <c r="R1164" s="98" t="str">
        <f ca="1">IF(J1163&gt;=12,(MID(Q1164,1,1)&amp;MID(Q1164,2,4)+1),CELL("address",AI1164))</f>
        <v>$AI$1164</v>
      </c>
    </row>
    <row r="1165" spans="1:8" ht="15" customHeight="1">
      <c r="A1165" s="260"/>
      <c r="B1165" s="260"/>
      <c r="C1165" s="261"/>
      <c r="D1165" s="34" t="s">
        <v>31</v>
      </c>
      <c r="E1165" s="104">
        <v>0.186</v>
      </c>
      <c r="F1165" s="1" t="s">
        <v>702</v>
      </c>
      <c r="G1165" s="102" t="str">
        <f>CONCATENATE(D1165," - ",E1165,", ")</f>
        <v>Misc. Alumn. Scrap - 0.186, </v>
      </c>
      <c r="H1165" s="1"/>
    </row>
    <row r="1166" spans="1:8" ht="15" customHeight="1">
      <c r="A1166" s="260"/>
      <c r="B1166" s="260"/>
      <c r="C1166" s="261"/>
      <c r="D1166" s="229" t="s">
        <v>27</v>
      </c>
      <c r="E1166" s="104">
        <v>0.018</v>
      </c>
      <c r="F1166" s="1" t="s">
        <v>702</v>
      </c>
      <c r="G1166" s="102" t="str">
        <f>CONCATENATE(D1166," - ",E1166,", ")</f>
        <v>Iron scrap - 0.018, </v>
      </c>
      <c r="H1166" s="1"/>
    </row>
    <row r="1167" spans="1:8" ht="15" customHeight="1">
      <c r="A1167" s="1"/>
      <c r="B1167" s="1"/>
      <c r="C1167" s="1"/>
      <c r="D1167" s="1"/>
      <c r="E1167" s="1"/>
      <c r="H1167" s="1"/>
    </row>
    <row r="1168" spans="1:8" ht="15.75" customHeight="1">
      <c r="A1168" s="1"/>
      <c r="B1168" s="1"/>
      <c r="C1168" s="1"/>
      <c r="D1168" s="1"/>
      <c r="E1168" s="1"/>
      <c r="H1168" s="1"/>
    </row>
    <row r="1169" spans="1:8" ht="15.75" customHeight="1">
      <c r="A1169" s="1"/>
      <c r="B1169" s="1"/>
      <c r="C1169" s="1"/>
      <c r="D1169" s="1"/>
      <c r="E1169" s="1"/>
      <c r="H1169" s="1"/>
    </row>
    <row r="1170" spans="1:8" ht="15.75" customHeight="1">
      <c r="A1170" s="1"/>
      <c r="B1170" s="1"/>
      <c r="C1170" s="1"/>
      <c r="D1170" s="1"/>
      <c r="E1170" s="1"/>
      <c r="H1170" s="1"/>
    </row>
    <row r="1171" spans="1:8" ht="15" customHeight="1">
      <c r="A1171" s="1"/>
      <c r="B1171" s="1"/>
      <c r="C1171" s="1"/>
      <c r="D1171" s="1"/>
      <c r="E1171" s="1"/>
      <c r="H1171" s="1"/>
    </row>
    <row r="1172" spans="1:8" ht="15" customHeight="1">
      <c r="A1172" s="1"/>
      <c r="B1172" s="1"/>
      <c r="C1172" s="1"/>
      <c r="D1172" s="1"/>
      <c r="E1172" s="1"/>
      <c r="H1172" s="1"/>
    </row>
    <row r="1173" spans="1:8" ht="15" customHeight="1">
      <c r="A1173" s="1"/>
      <c r="B1173" s="1"/>
      <c r="C1173" s="1"/>
      <c r="D1173" s="1"/>
      <c r="E1173" s="1"/>
      <c r="H1173" s="1"/>
    </row>
    <row r="1174" spans="1:8" ht="15" customHeight="1">
      <c r="A1174" s="1"/>
      <c r="B1174" s="1"/>
      <c r="C1174" s="1"/>
      <c r="D1174" s="1"/>
      <c r="E1174" s="1"/>
      <c r="H1174" s="1"/>
    </row>
    <row r="1175" spans="1:8" ht="15" customHeight="1">
      <c r="A1175" s="1"/>
      <c r="B1175" s="1"/>
      <c r="C1175" s="1"/>
      <c r="D1175" s="1"/>
      <c r="E1175" s="1"/>
      <c r="H1175" s="1"/>
    </row>
    <row r="1176" spans="1:8" ht="15" customHeight="1">
      <c r="A1176" s="1"/>
      <c r="B1176" s="1"/>
      <c r="C1176" s="1"/>
      <c r="D1176" s="1"/>
      <c r="E1176" s="1"/>
      <c r="H1176" s="1"/>
    </row>
    <row r="1177" spans="1:8" ht="15" customHeight="1">
      <c r="A1177" s="1"/>
      <c r="B1177" s="1"/>
      <c r="C1177" s="1"/>
      <c r="D1177" s="1"/>
      <c r="E1177" s="1"/>
      <c r="H1177" s="1"/>
    </row>
    <row r="1178" spans="1:8" ht="15" customHeight="1">
      <c r="A1178" s="1"/>
      <c r="B1178" s="1"/>
      <c r="C1178" s="1"/>
      <c r="D1178" s="1"/>
      <c r="E1178" s="1"/>
      <c r="H1178" s="1"/>
    </row>
    <row r="1179" spans="1:8" ht="15" customHeight="1">
      <c r="A1179" s="1"/>
      <c r="B1179" s="1"/>
      <c r="C1179" s="1"/>
      <c r="D1179" s="1"/>
      <c r="E1179" s="1"/>
      <c r="H1179" s="1"/>
    </row>
    <row r="1180" spans="1:8" ht="15" customHeight="1">
      <c r="A1180" s="1"/>
      <c r="B1180" s="1"/>
      <c r="C1180" s="1"/>
      <c r="D1180" s="1"/>
      <c r="E1180" s="1"/>
      <c r="H1180" s="1"/>
    </row>
    <row r="1181" spans="1:8" ht="15" customHeight="1">
      <c r="A1181" s="1"/>
      <c r="B1181" s="1"/>
      <c r="C1181" s="1"/>
      <c r="D1181" s="1"/>
      <c r="E1181" s="1"/>
      <c r="H1181" s="1"/>
    </row>
    <row r="1182" spans="1:8" ht="15" customHeight="1">
      <c r="A1182" s="1"/>
      <c r="B1182" s="1"/>
      <c r="C1182" s="1"/>
      <c r="D1182" s="1"/>
      <c r="E1182" s="1"/>
      <c r="H1182" s="1"/>
    </row>
    <row r="1183" spans="1:8" ht="15" customHeight="1">
      <c r="A1183" s="1"/>
      <c r="B1183" s="1"/>
      <c r="C1183" s="1"/>
      <c r="D1183" s="1"/>
      <c r="E1183" s="1"/>
      <c r="H1183" s="1"/>
    </row>
    <row r="1184" spans="1:8" ht="15" customHeight="1">
      <c r="A1184" s="1"/>
      <c r="B1184" s="1"/>
      <c r="C1184" s="1"/>
      <c r="D1184" s="1"/>
      <c r="E1184" s="1"/>
      <c r="H1184" s="1"/>
    </row>
    <row r="1185" spans="1:8" ht="15" customHeight="1">
      <c r="A1185" s="1"/>
      <c r="B1185" s="1"/>
      <c r="C1185" s="1"/>
      <c r="D1185" s="1"/>
      <c r="E1185" s="1"/>
      <c r="H1185" s="1"/>
    </row>
    <row r="1186" spans="1:8" ht="15" customHeight="1">
      <c r="A1186" s="1"/>
      <c r="B1186" s="1"/>
      <c r="C1186" s="1"/>
      <c r="D1186" s="1"/>
      <c r="E1186" s="1"/>
      <c r="H1186" s="1"/>
    </row>
    <row r="1187" spans="1:8" ht="15" customHeight="1">
      <c r="A1187" s="1"/>
      <c r="B1187" s="1"/>
      <c r="C1187" s="1"/>
      <c r="D1187" s="1"/>
      <c r="E1187" s="1"/>
      <c r="H1187" s="1"/>
    </row>
    <row r="1188" spans="1:8" ht="15" customHeight="1">
      <c r="A1188" s="1"/>
      <c r="B1188" s="1"/>
      <c r="C1188" s="1"/>
      <c r="D1188" s="1"/>
      <c r="E1188" s="1"/>
      <c r="H1188" s="1"/>
    </row>
    <row r="1189" spans="1:8" ht="15" customHeight="1">
      <c r="A1189" s="1"/>
      <c r="B1189" s="1"/>
      <c r="C1189" s="1"/>
      <c r="D1189" s="1"/>
      <c r="E1189" s="1"/>
      <c r="H1189" s="1"/>
    </row>
    <row r="1190" spans="1:8" ht="15" customHeight="1">
      <c r="A1190" s="1"/>
      <c r="B1190" s="1"/>
      <c r="C1190" s="1"/>
      <c r="D1190" s="1"/>
      <c r="E1190" s="1"/>
      <c r="H1190" s="1"/>
    </row>
    <row r="1191" spans="1:8" ht="15" customHeight="1">
      <c r="A1191" s="1"/>
      <c r="B1191" s="1"/>
      <c r="C1191" s="1"/>
      <c r="D1191" s="1"/>
      <c r="E1191" s="1"/>
      <c r="H1191" s="1"/>
    </row>
    <row r="1192" spans="1:8" ht="15" customHeight="1">
      <c r="A1192" s="1"/>
      <c r="B1192" s="1"/>
      <c r="C1192" s="1"/>
      <c r="D1192" s="1"/>
      <c r="E1192" s="1"/>
      <c r="H1192" s="1"/>
    </row>
    <row r="1193" spans="1:8" ht="15" customHeight="1">
      <c r="A1193" s="1"/>
      <c r="B1193" s="1"/>
      <c r="C1193" s="1"/>
      <c r="D1193" s="1"/>
      <c r="E1193" s="1"/>
      <c r="H1193" s="1"/>
    </row>
    <row r="1194" spans="1:8" ht="15" customHeight="1">
      <c r="A1194" s="1"/>
      <c r="B1194" s="1"/>
      <c r="C1194" s="1"/>
      <c r="D1194" s="1"/>
      <c r="E1194" s="1"/>
      <c r="H1194" s="1"/>
    </row>
    <row r="1195" spans="1:8" ht="15" customHeight="1">
      <c r="A1195" s="1"/>
      <c r="B1195" s="1"/>
      <c r="C1195" s="1"/>
      <c r="D1195" s="1"/>
      <c r="E1195" s="1"/>
      <c r="H1195" s="1"/>
    </row>
    <row r="1196" spans="1:8" ht="13.5" customHeight="1">
      <c r="A1196" s="1"/>
      <c r="B1196" s="1"/>
      <c r="C1196" s="1"/>
      <c r="D1196" s="1"/>
      <c r="E1196" s="1"/>
      <c r="H1196" s="1"/>
    </row>
    <row r="1197" spans="1:8" ht="13.5" customHeight="1">
      <c r="A1197" s="1"/>
      <c r="B1197" s="1"/>
      <c r="C1197" s="1"/>
      <c r="D1197" s="1"/>
      <c r="E1197" s="1"/>
      <c r="H1197" s="1"/>
    </row>
    <row r="1198" spans="1:8" ht="15" customHeight="1">
      <c r="A1198" s="1"/>
      <c r="B1198" s="1"/>
      <c r="C1198" s="1"/>
      <c r="D1198" s="1"/>
      <c r="E1198" s="1"/>
      <c r="H1198" s="1"/>
    </row>
    <row r="1199" spans="1:8" ht="15" customHeight="1">
      <c r="A1199" s="1"/>
      <c r="B1199" s="1"/>
      <c r="C1199" s="1"/>
      <c r="D1199" s="1"/>
      <c r="E1199" s="1"/>
      <c r="H1199" s="1"/>
    </row>
    <row r="1200" spans="1:8" ht="15" customHeight="1">
      <c r="A1200" s="1"/>
      <c r="B1200" s="1"/>
      <c r="C1200" s="1"/>
      <c r="D1200" s="1"/>
      <c r="E1200" s="1"/>
      <c r="H1200" s="1"/>
    </row>
    <row r="1201" spans="1:8" ht="15" customHeight="1">
      <c r="A1201" s="1"/>
      <c r="B1201" s="1"/>
      <c r="C1201" s="1"/>
      <c r="D1201" s="1"/>
      <c r="E1201" s="1"/>
      <c r="H1201" s="1"/>
    </row>
    <row r="1202" spans="1:8" ht="15" customHeight="1">
      <c r="A1202" s="1"/>
      <c r="B1202" s="1"/>
      <c r="C1202" s="1"/>
      <c r="D1202" s="1"/>
      <c r="E1202" s="1"/>
      <c r="H1202" s="1"/>
    </row>
    <row r="1203" spans="1:8" ht="16.5" customHeight="1">
      <c r="A1203" s="1"/>
      <c r="B1203" s="1"/>
      <c r="C1203" s="1"/>
      <c r="D1203" s="1"/>
      <c r="E1203" s="1"/>
      <c r="H1203" s="1"/>
    </row>
    <row r="1204" spans="1:8" ht="16.5" customHeight="1">
      <c r="A1204" s="1"/>
      <c r="B1204" s="1"/>
      <c r="C1204" s="1"/>
      <c r="D1204" s="1"/>
      <c r="E1204" s="1"/>
      <c r="H1204" s="1"/>
    </row>
    <row r="1205" spans="1:8" ht="16.5" customHeight="1">
      <c r="A1205" s="1"/>
      <c r="B1205" s="1"/>
      <c r="C1205" s="1"/>
      <c r="D1205" s="1"/>
      <c r="E1205" s="1"/>
      <c r="H1205" s="1"/>
    </row>
    <row r="1206" spans="1:8" ht="16.5" customHeight="1">
      <c r="A1206" s="1"/>
      <c r="B1206" s="1"/>
      <c r="C1206" s="1"/>
      <c r="D1206" s="1"/>
      <c r="E1206" s="1"/>
      <c r="H1206" s="1"/>
    </row>
    <row r="1207" spans="1:8" ht="16.5" customHeight="1">
      <c r="A1207" s="1"/>
      <c r="B1207" s="1"/>
      <c r="C1207" s="1"/>
      <c r="D1207" s="1"/>
      <c r="E1207" s="1"/>
      <c r="H1207" s="1"/>
    </row>
    <row r="1208" spans="1:8" ht="16.5" customHeight="1">
      <c r="A1208" s="1"/>
      <c r="B1208" s="1"/>
      <c r="C1208" s="1"/>
      <c r="D1208" s="1"/>
      <c r="E1208" s="1"/>
      <c r="H1208" s="1"/>
    </row>
    <row r="1209" spans="1:8" ht="16.5" customHeight="1">
      <c r="A1209" s="1"/>
      <c r="B1209" s="1"/>
      <c r="C1209" s="1"/>
      <c r="D1209" s="1"/>
      <c r="E1209" s="1"/>
      <c r="H1209" s="1"/>
    </row>
    <row r="1210" spans="1:8" ht="15" customHeight="1">
      <c r="A1210" s="1"/>
      <c r="B1210" s="1"/>
      <c r="C1210" s="1"/>
      <c r="D1210" s="1"/>
      <c r="E1210" s="1"/>
      <c r="H1210" s="1"/>
    </row>
    <row r="1211" spans="1:8" ht="15" customHeight="1">
      <c r="A1211" s="1"/>
      <c r="B1211" s="1"/>
      <c r="C1211" s="1"/>
      <c r="D1211" s="1"/>
      <c r="E1211" s="1"/>
      <c r="H1211" s="1"/>
    </row>
    <row r="1212" spans="1:8" ht="15" customHeight="1">
      <c r="A1212" s="1"/>
      <c r="B1212" s="1"/>
      <c r="C1212" s="1"/>
      <c r="D1212" s="1"/>
      <c r="E1212" s="1"/>
      <c r="H1212" s="1"/>
    </row>
    <row r="1213" spans="1:8" ht="14.25" customHeight="1">
      <c r="A1213" s="1"/>
      <c r="B1213" s="1"/>
      <c r="C1213" s="1"/>
      <c r="D1213" s="1"/>
      <c r="E1213" s="1"/>
      <c r="H1213" s="1"/>
    </row>
    <row r="1214" spans="1:8" ht="14.25" customHeight="1">
      <c r="A1214" s="1"/>
      <c r="B1214" s="1"/>
      <c r="C1214" s="1"/>
      <c r="D1214" s="1"/>
      <c r="E1214" s="1"/>
      <c r="H1214" s="1"/>
    </row>
    <row r="1215" spans="1:8" ht="14.25" customHeight="1">
      <c r="A1215" s="1"/>
      <c r="B1215" s="1"/>
      <c r="C1215" s="1"/>
      <c r="D1215" s="1"/>
      <c r="E1215" s="1"/>
      <c r="H1215" s="1"/>
    </row>
    <row r="1216" spans="1:8" ht="14.25" customHeight="1">
      <c r="A1216" s="1"/>
      <c r="B1216" s="1"/>
      <c r="C1216" s="1"/>
      <c r="D1216" s="1"/>
      <c r="E1216" s="1"/>
      <c r="H1216" s="1"/>
    </row>
    <row r="1217" spans="1:8" ht="14.25" customHeight="1">
      <c r="A1217" s="1"/>
      <c r="B1217" s="1"/>
      <c r="C1217" s="1"/>
      <c r="D1217" s="1"/>
      <c r="E1217" s="1"/>
      <c r="H1217" s="1"/>
    </row>
    <row r="1218" spans="1:8" ht="14.25" customHeight="1">
      <c r="A1218" s="1"/>
      <c r="B1218" s="1"/>
      <c r="C1218" s="1"/>
      <c r="D1218" s="1"/>
      <c r="E1218" s="1"/>
      <c r="H1218" s="1"/>
    </row>
    <row r="1219" spans="1:8" ht="14.25" customHeight="1">
      <c r="A1219" s="1"/>
      <c r="B1219" s="1"/>
      <c r="C1219" s="1"/>
      <c r="D1219" s="1"/>
      <c r="E1219" s="1"/>
      <c r="H1219" s="1"/>
    </row>
    <row r="1220" spans="1:8" ht="14.25" customHeight="1">
      <c r="A1220" s="1"/>
      <c r="B1220" s="1"/>
      <c r="C1220" s="1"/>
      <c r="D1220" s="1"/>
      <c r="E1220" s="1"/>
      <c r="H1220" s="1"/>
    </row>
    <row r="1221" spans="1:8" ht="14.25" customHeight="1">
      <c r="A1221" s="1"/>
      <c r="B1221" s="1"/>
      <c r="C1221" s="1"/>
      <c r="D1221" s="1"/>
      <c r="E1221" s="1"/>
      <c r="H1221" s="1"/>
    </row>
    <row r="1222" spans="1:8" ht="14.25" customHeight="1">
      <c r="A1222" s="1"/>
      <c r="B1222" s="1"/>
      <c r="C1222" s="1"/>
      <c r="D1222" s="1"/>
      <c r="E1222" s="1"/>
      <c r="H1222" s="1"/>
    </row>
    <row r="1223" spans="1:8" ht="14.25" customHeight="1">
      <c r="A1223" s="1"/>
      <c r="B1223" s="1"/>
      <c r="C1223" s="1"/>
      <c r="D1223" s="1"/>
      <c r="E1223" s="1"/>
      <c r="H1223" s="1"/>
    </row>
    <row r="1224" spans="1:8" ht="14.25" customHeight="1">
      <c r="A1224" s="1"/>
      <c r="B1224" s="1"/>
      <c r="C1224" s="1"/>
      <c r="D1224" s="1"/>
      <c r="E1224" s="1"/>
      <c r="H1224" s="1"/>
    </row>
    <row r="1225" spans="1:8" ht="14.25" customHeight="1">
      <c r="A1225" s="1"/>
      <c r="B1225" s="1"/>
      <c r="C1225" s="1"/>
      <c r="D1225" s="1"/>
      <c r="E1225" s="1"/>
      <c r="H1225" s="1"/>
    </row>
    <row r="1226" spans="1:8" ht="14.25" customHeight="1">
      <c r="A1226" s="1"/>
      <c r="B1226" s="1"/>
      <c r="C1226" s="1"/>
      <c r="D1226" s="1"/>
      <c r="E1226" s="1"/>
      <c r="H1226" s="1"/>
    </row>
    <row r="1227" spans="1:8" ht="14.25" customHeight="1">
      <c r="A1227" s="1"/>
      <c r="B1227" s="1"/>
      <c r="C1227" s="1"/>
      <c r="D1227" s="1"/>
      <c r="E1227" s="1"/>
      <c r="H1227" s="1"/>
    </row>
    <row r="1228" spans="1:8" ht="14.25" customHeight="1">
      <c r="A1228" s="1"/>
      <c r="B1228" s="1"/>
      <c r="C1228" s="1"/>
      <c r="D1228" s="1"/>
      <c r="E1228" s="1"/>
      <c r="H1228" s="1"/>
    </row>
    <row r="1229" spans="1:8" ht="14.25" customHeight="1">
      <c r="A1229" s="1"/>
      <c r="B1229" s="1"/>
      <c r="C1229" s="1"/>
      <c r="D1229" s="1"/>
      <c r="E1229" s="1"/>
      <c r="H1229" s="1"/>
    </row>
    <row r="1230" spans="1:8" ht="14.25" customHeight="1">
      <c r="A1230" s="1"/>
      <c r="B1230" s="1"/>
      <c r="C1230" s="1"/>
      <c r="D1230" s="1"/>
      <c r="E1230" s="1"/>
      <c r="H1230" s="1"/>
    </row>
    <row r="1231" spans="1:8" ht="14.25" customHeight="1">
      <c r="A1231" s="1"/>
      <c r="B1231" s="1"/>
      <c r="C1231" s="1"/>
      <c r="D1231" s="1"/>
      <c r="E1231" s="1"/>
      <c r="H1231" s="1"/>
    </row>
    <row r="1232" spans="1:8" ht="14.25" customHeight="1">
      <c r="A1232" s="1"/>
      <c r="B1232" s="1"/>
      <c r="C1232" s="1"/>
      <c r="D1232" s="1"/>
      <c r="E1232" s="1"/>
      <c r="H1232" s="1"/>
    </row>
    <row r="1233" spans="1:8" ht="14.25" customHeight="1">
      <c r="A1233" s="1"/>
      <c r="B1233" s="1"/>
      <c r="C1233" s="1"/>
      <c r="D1233" s="1"/>
      <c r="E1233" s="1"/>
      <c r="H1233" s="1"/>
    </row>
    <row r="1234" spans="1:8" ht="14.25" customHeight="1">
      <c r="A1234" s="1"/>
      <c r="B1234" s="1"/>
      <c r="C1234" s="1"/>
      <c r="D1234" s="1"/>
      <c r="E1234" s="1"/>
      <c r="H1234" s="1"/>
    </row>
    <row r="1235" spans="1:8" ht="14.25" customHeight="1">
      <c r="A1235" s="1"/>
      <c r="B1235" s="1"/>
      <c r="C1235" s="1"/>
      <c r="D1235" s="1"/>
      <c r="E1235" s="1"/>
      <c r="H1235" s="1"/>
    </row>
    <row r="1236" spans="1:8" ht="14.25" customHeight="1">
      <c r="A1236" s="1"/>
      <c r="B1236" s="1"/>
      <c r="C1236" s="1"/>
      <c r="D1236" s="1"/>
      <c r="E1236" s="1"/>
      <c r="H1236" s="1"/>
    </row>
    <row r="1237" spans="1:8" ht="14.25" customHeight="1">
      <c r="A1237" s="1"/>
      <c r="B1237" s="1"/>
      <c r="C1237" s="1"/>
      <c r="D1237" s="1"/>
      <c r="E1237" s="1"/>
      <c r="H1237" s="1"/>
    </row>
    <row r="1238" spans="1:8" ht="14.25" customHeight="1">
      <c r="A1238" s="1"/>
      <c r="B1238" s="1"/>
      <c r="C1238" s="1"/>
      <c r="D1238" s="1"/>
      <c r="E1238" s="1"/>
      <c r="H1238" s="1"/>
    </row>
    <row r="1239" spans="1:8" ht="14.25" customHeight="1">
      <c r="A1239" s="1"/>
      <c r="B1239" s="1"/>
      <c r="C1239" s="1"/>
      <c r="D1239" s="1"/>
      <c r="E1239" s="1"/>
      <c r="H1239" s="1"/>
    </row>
    <row r="1240" spans="1:8" ht="14.25" customHeight="1">
      <c r="A1240" s="1"/>
      <c r="B1240" s="1"/>
      <c r="C1240" s="1"/>
      <c r="D1240" s="1"/>
      <c r="E1240" s="1"/>
      <c r="H1240" s="1"/>
    </row>
    <row r="1241" spans="1:8" ht="14.25" customHeight="1">
      <c r="A1241" s="1"/>
      <c r="B1241" s="1"/>
      <c r="C1241" s="1"/>
      <c r="D1241" s="1"/>
      <c r="E1241" s="1"/>
      <c r="H1241" s="1"/>
    </row>
    <row r="1242" spans="1:8" ht="14.25" customHeight="1">
      <c r="A1242" s="1"/>
      <c r="B1242" s="1"/>
      <c r="C1242" s="1"/>
      <c r="D1242" s="1"/>
      <c r="E1242" s="1"/>
      <c r="H1242" s="1"/>
    </row>
    <row r="1243" spans="1:8" ht="14.25" customHeight="1">
      <c r="A1243" s="1"/>
      <c r="B1243" s="1"/>
      <c r="C1243" s="1"/>
      <c r="D1243" s="1"/>
      <c r="E1243" s="1"/>
      <c r="H1243" s="1"/>
    </row>
    <row r="1244" spans="1:8" ht="14.25" customHeight="1">
      <c r="A1244" s="1"/>
      <c r="B1244" s="1"/>
      <c r="C1244" s="1"/>
      <c r="D1244" s="1"/>
      <c r="E1244" s="1"/>
      <c r="H1244" s="1"/>
    </row>
    <row r="1245" spans="1:8" ht="14.25" customHeight="1">
      <c r="A1245" s="1"/>
      <c r="B1245" s="1"/>
      <c r="C1245" s="1"/>
      <c r="D1245" s="1"/>
      <c r="E1245" s="1"/>
      <c r="H1245" s="1"/>
    </row>
    <row r="1246" spans="1:8" ht="14.25" customHeight="1">
      <c r="A1246" s="1"/>
      <c r="B1246" s="1"/>
      <c r="C1246" s="1"/>
      <c r="D1246" s="1"/>
      <c r="E1246" s="1"/>
      <c r="H1246" s="1"/>
    </row>
    <row r="1247" spans="1:8" ht="14.25" customHeight="1">
      <c r="A1247" s="1"/>
      <c r="B1247" s="1"/>
      <c r="C1247" s="1"/>
      <c r="D1247" s="1"/>
      <c r="E1247" s="1"/>
      <c r="H1247" s="1"/>
    </row>
    <row r="1248" spans="1:8" ht="14.25" customHeight="1">
      <c r="A1248" s="1"/>
      <c r="B1248" s="1"/>
      <c r="C1248" s="1"/>
      <c r="D1248" s="1"/>
      <c r="E1248" s="1"/>
      <c r="H1248" s="1"/>
    </row>
    <row r="1249" spans="1:8" ht="14.25" customHeight="1">
      <c r="A1249" s="1"/>
      <c r="B1249" s="1"/>
      <c r="C1249" s="1"/>
      <c r="D1249" s="1"/>
      <c r="E1249" s="1"/>
      <c r="H1249" s="1"/>
    </row>
    <row r="1250" spans="1:8" ht="14.25" customHeight="1">
      <c r="A1250" s="1"/>
      <c r="B1250" s="1"/>
      <c r="C1250" s="1"/>
      <c r="D1250" s="1"/>
      <c r="E1250" s="1"/>
      <c r="H1250" s="1"/>
    </row>
    <row r="1251" spans="1:8" ht="14.25" customHeight="1">
      <c r="A1251" s="1"/>
      <c r="B1251" s="1"/>
      <c r="C1251" s="1"/>
      <c r="D1251" s="1"/>
      <c r="E1251" s="1"/>
      <c r="H1251" s="1"/>
    </row>
    <row r="1252" spans="1:8" ht="14.25" customHeight="1">
      <c r="A1252" s="1"/>
      <c r="B1252" s="1"/>
      <c r="C1252" s="1"/>
      <c r="D1252" s="1"/>
      <c r="E1252" s="1"/>
      <c r="H1252" s="1"/>
    </row>
    <row r="1253" spans="1:8" ht="14.25" customHeight="1">
      <c r="A1253" s="1"/>
      <c r="B1253" s="1"/>
      <c r="C1253" s="1"/>
      <c r="D1253" s="1"/>
      <c r="E1253" s="1"/>
      <c r="H1253" s="1"/>
    </row>
    <row r="1254" spans="1:8" ht="14.25" customHeight="1">
      <c r="A1254" s="1"/>
      <c r="B1254" s="1"/>
      <c r="C1254" s="1"/>
      <c r="D1254" s="1"/>
      <c r="E1254" s="1"/>
      <c r="H1254" s="1"/>
    </row>
    <row r="1255" spans="1:8" ht="14.25" customHeight="1">
      <c r="A1255" s="1"/>
      <c r="B1255" s="1"/>
      <c r="C1255" s="1"/>
      <c r="D1255" s="1"/>
      <c r="E1255" s="1"/>
      <c r="H1255" s="1"/>
    </row>
    <row r="1256" spans="1:8" ht="14.25" customHeight="1">
      <c r="A1256" s="1"/>
      <c r="B1256" s="1"/>
      <c r="C1256" s="1"/>
      <c r="D1256" s="1"/>
      <c r="E1256" s="1"/>
      <c r="H1256" s="1"/>
    </row>
    <row r="1257" spans="1:8" ht="14.25" customHeight="1">
      <c r="A1257" s="1"/>
      <c r="B1257" s="1"/>
      <c r="C1257" s="1"/>
      <c r="D1257" s="1"/>
      <c r="E1257" s="1"/>
      <c r="H1257" s="1"/>
    </row>
    <row r="1258" spans="1:8" ht="14.25" customHeight="1">
      <c r="A1258" s="1"/>
      <c r="B1258" s="1"/>
      <c r="C1258" s="1"/>
      <c r="D1258" s="1"/>
      <c r="E1258" s="1"/>
      <c r="H1258" s="1"/>
    </row>
    <row r="1259" spans="1:8" ht="14.25" customHeight="1">
      <c r="A1259" s="1"/>
      <c r="B1259" s="1"/>
      <c r="C1259" s="1"/>
      <c r="D1259" s="1"/>
      <c r="E1259" s="1"/>
      <c r="H1259" s="1"/>
    </row>
    <row r="1260" spans="1:8" ht="14.25" customHeight="1">
      <c r="A1260" s="1"/>
      <c r="B1260" s="1"/>
      <c r="C1260" s="1"/>
      <c r="D1260" s="1"/>
      <c r="E1260" s="1"/>
      <c r="H1260" s="1"/>
    </row>
    <row r="1261" spans="1:8" ht="14.25" customHeight="1">
      <c r="A1261" s="1"/>
      <c r="B1261" s="1"/>
      <c r="C1261" s="1"/>
      <c r="D1261" s="1"/>
      <c r="E1261" s="1"/>
      <c r="H1261" s="1"/>
    </row>
    <row r="1262" spans="1:8" ht="14.25" customHeight="1">
      <c r="A1262" s="1"/>
      <c r="B1262" s="1"/>
      <c r="C1262" s="1"/>
      <c r="D1262" s="1"/>
      <c r="E1262" s="1"/>
      <c r="H1262" s="1"/>
    </row>
    <row r="1263" spans="1:8" ht="14.25" customHeight="1">
      <c r="A1263" s="1"/>
      <c r="B1263" s="1"/>
      <c r="C1263" s="1"/>
      <c r="D1263" s="1"/>
      <c r="E1263" s="1"/>
      <c r="H1263" s="1"/>
    </row>
    <row r="1264" spans="1:8" ht="14.25" customHeight="1">
      <c r="A1264" s="1"/>
      <c r="B1264" s="1"/>
      <c r="C1264" s="1"/>
      <c r="D1264" s="1"/>
      <c r="E1264" s="1"/>
      <c r="H1264" s="1"/>
    </row>
    <row r="1265" spans="1:5" ht="14.25" customHeight="1">
      <c r="A1265" s="1"/>
      <c r="B1265" s="1"/>
      <c r="C1265" s="1"/>
      <c r="D1265" s="1"/>
      <c r="E1265" s="1"/>
    </row>
    <row r="1266" spans="1:5" ht="14.25" customHeight="1">
      <c r="A1266" s="1"/>
      <c r="B1266" s="1"/>
      <c r="C1266" s="1"/>
      <c r="D1266" s="1"/>
      <c r="E1266" s="1"/>
    </row>
    <row r="1267" spans="1:5" ht="14.25" customHeight="1">
      <c r="A1267" s="1"/>
      <c r="B1267" s="1"/>
      <c r="C1267" s="1"/>
      <c r="D1267" s="1"/>
      <c r="E1267" s="1"/>
    </row>
    <row r="1268" spans="1:5" ht="14.25" customHeight="1">
      <c r="A1268" s="1"/>
      <c r="B1268" s="1"/>
      <c r="C1268" s="1"/>
      <c r="D1268" s="1"/>
      <c r="E1268" s="1"/>
    </row>
    <row r="1269" spans="1:5" ht="14.25" customHeight="1">
      <c r="A1269" s="1"/>
      <c r="B1269" s="1"/>
      <c r="C1269" s="1"/>
      <c r="D1269" s="1"/>
      <c r="E1269" s="1"/>
    </row>
    <row r="1270" spans="1:5" ht="14.25" customHeight="1">
      <c r="A1270" s="1"/>
      <c r="B1270" s="1"/>
      <c r="C1270" s="1"/>
      <c r="D1270" s="1"/>
      <c r="E1270" s="1"/>
    </row>
    <row r="1271" ht="14.25" customHeight="1"/>
    <row r="1272" ht="14.25" customHeight="1"/>
    <row r="1273" ht="14.25" customHeight="1"/>
    <row r="1274" ht="14.25" customHeight="1"/>
    <row r="1275" ht="19.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</sheetData>
  <sheetProtection/>
  <mergeCells count="631">
    <mergeCell ref="A1162:B1162"/>
    <mergeCell ref="A1163:B1163"/>
    <mergeCell ref="C1164:C1166"/>
    <mergeCell ref="A1164:B1166"/>
    <mergeCell ref="H1163:H1164"/>
    <mergeCell ref="A107:C107"/>
    <mergeCell ref="A374:E374"/>
    <mergeCell ref="A376:C376"/>
    <mergeCell ref="A383:C383"/>
    <mergeCell ref="A396:E396"/>
    <mergeCell ref="A126:C126"/>
    <mergeCell ref="A208:C208"/>
    <mergeCell ref="A147:E147"/>
    <mergeCell ref="C1145:C1146"/>
    <mergeCell ref="A1145:B1146"/>
    <mergeCell ref="A865:B865"/>
    <mergeCell ref="A704:A709"/>
    <mergeCell ref="A845:B848"/>
    <mergeCell ref="C859:C862"/>
    <mergeCell ref="A1134:B1134"/>
    <mergeCell ref="A897:B897"/>
    <mergeCell ref="A335:C335"/>
    <mergeCell ref="B624:C624"/>
    <mergeCell ref="A824:B828"/>
    <mergeCell ref="A523:C523"/>
    <mergeCell ref="A535:C535"/>
    <mergeCell ref="A572:E572"/>
    <mergeCell ref="A843:B843"/>
    <mergeCell ref="C852:C855"/>
    <mergeCell ref="B660:C660"/>
    <mergeCell ref="C52:D52"/>
    <mergeCell ref="A52:B52"/>
    <mergeCell ref="A418:C418"/>
    <mergeCell ref="A54:B54"/>
    <mergeCell ref="C54:D54"/>
    <mergeCell ref="A149:C149"/>
    <mergeCell ref="A286:C286"/>
    <mergeCell ref="A401:C401"/>
    <mergeCell ref="A345:C345"/>
    <mergeCell ref="A398:C398"/>
    <mergeCell ref="A805:B806"/>
    <mergeCell ref="A391:C391"/>
    <mergeCell ref="A505:C505"/>
    <mergeCell ref="A801:B801"/>
    <mergeCell ref="A804:B804"/>
    <mergeCell ref="A675:A678"/>
    <mergeCell ref="B697:C700"/>
    <mergeCell ref="A745:B745"/>
    <mergeCell ref="C1033:C1037"/>
    <mergeCell ref="A1133:B1133"/>
    <mergeCell ref="C871:C872"/>
    <mergeCell ref="A1087:B1087"/>
    <mergeCell ref="A1085:B1085"/>
    <mergeCell ref="A1102:B1102"/>
    <mergeCell ref="C1127:C1131"/>
    <mergeCell ref="A1127:B1131"/>
    <mergeCell ref="A1125:B1125"/>
    <mergeCell ref="A1126:B1126"/>
    <mergeCell ref="A81:C81"/>
    <mergeCell ref="H865:H866"/>
    <mergeCell ref="A892:B892"/>
    <mergeCell ref="A871:B872"/>
    <mergeCell ref="A1012:B1019"/>
    <mergeCell ref="C1120:C1123"/>
    <mergeCell ref="A1120:B1123"/>
    <mergeCell ref="A1119:B1119"/>
    <mergeCell ref="A909:B909"/>
    <mergeCell ref="C906:D906"/>
    <mergeCell ref="A800:B800"/>
    <mergeCell ref="A93:E93"/>
    <mergeCell ref="A111:C111"/>
    <mergeCell ref="A852:B855"/>
    <mergeCell ref="C760:C762"/>
    <mergeCell ref="A503:E503"/>
    <mergeCell ref="A608:C608"/>
    <mergeCell ref="C824:C828"/>
    <mergeCell ref="B703:C703"/>
    <mergeCell ref="C805:C806"/>
    <mergeCell ref="A1079:B1079"/>
    <mergeCell ref="A1103:B1103"/>
    <mergeCell ref="A1114:B1114"/>
    <mergeCell ref="A1106:B1106"/>
    <mergeCell ref="C1115:C1116"/>
    <mergeCell ref="A1118:B1118"/>
    <mergeCell ref="A1113:B1113"/>
    <mergeCell ref="A1115:B1116"/>
    <mergeCell ref="C1095:C1099"/>
    <mergeCell ref="A1088:B1091"/>
    <mergeCell ref="A1003:B1003"/>
    <mergeCell ref="C1012:C1019"/>
    <mergeCell ref="A169:E169"/>
    <mergeCell ref="C866:C867"/>
    <mergeCell ref="B668:C668"/>
    <mergeCell ref="B646:C646"/>
    <mergeCell ref="B611:C614"/>
    <mergeCell ref="C909:D909"/>
    <mergeCell ref="A908:B908"/>
    <mergeCell ref="B936:C936"/>
    <mergeCell ref="A171:C171"/>
    <mergeCell ref="A1040:B1040"/>
    <mergeCell ref="A1105:B1105"/>
    <mergeCell ref="A809:B809"/>
    <mergeCell ref="A236:C236"/>
    <mergeCell ref="A954:E954"/>
    <mergeCell ref="A866:B867"/>
    <mergeCell ref="A510:C510"/>
    <mergeCell ref="C908:D908"/>
    <mergeCell ref="A900:B900"/>
    <mergeCell ref="A84:C84"/>
    <mergeCell ref="A121:C121"/>
    <mergeCell ref="A95:C95"/>
    <mergeCell ref="A271:E271"/>
    <mergeCell ref="A134:E134"/>
    <mergeCell ref="A263:C263"/>
    <mergeCell ref="A184:C184"/>
    <mergeCell ref="A190:C190"/>
    <mergeCell ref="A229:E229"/>
    <mergeCell ref="A249:E249"/>
    <mergeCell ref="H770:H771"/>
    <mergeCell ref="A140:C140"/>
    <mergeCell ref="A182:E182"/>
    <mergeCell ref="H653:H654"/>
    <mergeCell ref="A682:A686"/>
    <mergeCell ref="B682:C686"/>
    <mergeCell ref="B618:C621"/>
    <mergeCell ref="A618:A621"/>
    <mergeCell ref="B725:C725"/>
    <mergeCell ref="B674:C674"/>
    <mergeCell ref="H870:H871"/>
    <mergeCell ref="B720:C722"/>
    <mergeCell ref="B704:C709"/>
    <mergeCell ref="B689:C689"/>
    <mergeCell ref="B713:C716"/>
    <mergeCell ref="A746:B747"/>
    <mergeCell ref="A870:B870"/>
    <mergeCell ref="A858:B858"/>
    <mergeCell ref="H823:H824"/>
    <mergeCell ref="H809:H810"/>
    <mergeCell ref="H646:H647"/>
    <mergeCell ref="A741:B742"/>
    <mergeCell ref="A713:A716"/>
    <mergeCell ref="A740:B740"/>
    <mergeCell ref="B675:C678"/>
    <mergeCell ref="C790:C792"/>
    <mergeCell ref="A751:B751"/>
    <mergeCell ref="B726:C729"/>
    <mergeCell ref="A783:B783"/>
    <mergeCell ref="A764:B764"/>
    <mergeCell ref="Q954:T954"/>
    <mergeCell ref="H804:H805"/>
    <mergeCell ref="H817:H818"/>
    <mergeCell ref="C845:C848"/>
    <mergeCell ref="H800:H801"/>
    <mergeCell ref="C897:D897"/>
    <mergeCell ref="H875:H876"/>
    <mergeCell ref="H882:H883"/>
    <mergeCell ref="B927:C927"/>
    <mergeCell ref="A902:B902"/>
    <mergeCell ref="Q761:U762"/>
    <mergeCell ref="A912:B912"/>
    <mergeCell ref="A771:B771"/>
    <mergeCell ref="A817:B817"/>
    <mergeCell ref="A898:B898"/>
    <mergeCell ref="C907:D907"/>
    <mergeCell ref="H765:H766"/>
    <mergeCell ref="A859:B862"/>
    <mergeCell ref="A774:B774"/>
    <mergeCell ref="H892:H893"/>
    <mergeCell ref="H956:H957"/>
    <mergeCell ref="B932:C932"/>
    <mergeCell ref="C910:D910"/>
    <mergeCell ref="A910:B910"/>
    <mergeCell ref="B930:C930"/>
    <mergeCell ref="B929:C929"/>
    <mergeCell ref="B939:C939"/>
    <mergeCell ref="B918:C918"/>
    <mergeCell ref="A957:B960"/>
    <mergeCell ref="A952:E952"/>
    <mergeCell ref="A808:B808"/>
    <mergeCell ref="A807:B807"/>
    <mergeCell ref="A831:B831"/>
    <mergeCell ref="A906:B906"/>
    <mergeCell ref="A905:B905"/>
    <mergeCell ref="C904:D904"/>
    <mergeCell ref="A903:B903"/>
    <mergeCell ref="C905:D905"/>
    <mergeCell ref="C900:D900"/>
    <mergeCell ref="C818:C820"/>
    <mergeCell ref="C973:C977"/>
    <mergeCell ref="B920:C920"/>
    <mergeCell ref="A971:B971"/>
    <mergeCell ref="A823:B823"/>
    <mergeCell ref="A851:B851"/>
    <mergeCell ref="A790:B792"/>
    <mergeCell ref="A795:B795"/>
    <mergeCell ref="A810:B814"/>
    <mergeCell ref="A818:B820"/>
    <mergeCell ref="A844:B844"/>
    <mergeCell ref="A951:E951"/>
    <mergeCell ref="A916:E916"/>
    <mergeCell ref="A963:B963"/>
    <mergeCell ref="B921:C921"/>
    <mergeCell ref="B926:C926"/>
    <mergeCell ref="A961:B961"/>
    <mergeCell ref="A945:E945"/>
    <mergeCell ref="A941:E941"/>
    <mergeCell ref="A962:B962"/>
    <mergeCell ref="A1026:B1026"/>
    <mergeCell ref="A991:B991"/>
    <mergeCell ref="A964:B969"/>
    <mergeCell ref="A1030:B1030"/>
    <mergeCell ref="A985:B985"/>
    <mergeCell ref="A973:B977"/>
    <mergeCell ref="A972:B972"/>
    <mergeCell ref="A992:B992"/>
    <mergeCell ref="A1000:B1000"/>
    <mergeCell ref="A979:B979"/>
    <mergeCell ref="C964:C969"/>
    <mergeCell ref="C810:C814"/>
    <mergeCell ref="A901:B901"/>
    <mergeCell ref="A896:E896"/>
    <mergeCell ref="A904:B904"/>
    <mergeCell ref="C899:D899"/>
    <mergeCell ref="C903:D903"/>
    <mergeCell ref="A899:B899"/>
    <mergeCell ref="C898:D898"/>
    <mergeCell ref="A875:B875"/>
    <mergeCell ref="C902:D902"/>
    <mergeCell ref="A1010:B1010"/>
    <mergeCell ref="A956:B956"/>
    <mergeCell ref="B917:C917"/>
    <mergeCell ref="B933:C933"/>
    <mergeCell ref="B923:C923"/>
    <mergeCell ref="B938:C938"/>
    <mergeCell ref="C957:C960"/>
    <mergeCell ref="B924:C924"/>
    <mergeCell ref="A943:E943"/>
    <mergeCell ref="A10:B10"/>
    <mergeCell ref="C10:D10"/>
    <mergeCell ref="A57:B57"/>
    <mergeCell ref="A33:D33"/>
    <mergeCell ref="C35:D35"/>
    <mergeCell ref="C34:D34"/>
    <mergeCell ref="A35:B35"/>
    <mergeCell ref="C40:D40"/>
    <mergeCell ref="C51:D51"/>
    <mergeCell ref="A51:B51"/>
    <mergeCell ref="A1:E1"/>
    <mergeCell ref="A2:C2"/>
    <mergeCell ref="A4:E4"/>
    <mergeCell ref="A3:C3"/>
    <mergeCell ref="A5:D5"/>
    <mergeCell ref="A9:B9"/>
    <mergeCell ref="C6:D6"/>
    <mergeCell ref="A6:B6"/>
    <mergeCell ref="A58:E58"/>
    <mergeCell ref="C50:D50"/>
    <mergeCell ref="A38:B38"/>
    <mergeCell ref="A47:B47"/>
    <mergeCell ref="C43:D43"/>
    <mergeCell ref="A39:B39"/>
    <mergeCell ref="C41:D41"/>
    <mergeCell ref="A43:B43"/>
    <mergeCell ref="C47:D47"/>
    <mergeCell ref="A41:B41"/>
    <mergeCell ref="A40:B40"/>
    <mergeCell ref="A49:B49"/>
    <mergeCell ref="A60:E60"/>
    <mergeCell ref="A34:B34"/>
    <mergeCell ref="A26:B26"/>
    <mergeCell ref="A12:B12"/>
    <mergeCell ref="A14:B14"/>
    <mergeCell ref="A28:D28"/>
    <mergeCell ref="A29:B29"/>
    <mergeCell ref="C29:D29"/>
    <mergeCell ref="A31:B31"/>
    <mergeCell ref="C31:D31"/>
    <mergeCell ref="C17:D17"/>
    <mergeCell ref="C13:D13"/>
    <mergeCell ref="A7:B7"/>
    <mergeCell ref="C11:D11"/>
    <mergeCell ref="C7:D7"/>
    <mergeCell ref="C9:D9"/>
    <mergeCell ref="C24:D24"/>
    <mergeCell ref="A24:B24"/>
    <mergeCell ref="A11:B11"/>
    <mergeCell ref="A13:B13"/>
    <mergeCell ref="C15:D15"/>
    <mergeCell ref="A15:B15"/>
    <mergeCell ref="C16:D16"/>
    <mergeCell ref="A17:B17"/>
    <mergeCell ref="C12:D12"/>
    <mergeCell ref="C14:D14"/>
    <mergeCell ref="A16:B16"/>
    <mergeCell ref="D32:E32"/>
    <mergeCell ref="A18:B18"/>
    <mergeCell ref="C19:D19"/>
    <mergeCell ref="A19:B19"/>
    <mergeCell ref="C26:D26"/>
    <mergeCell ref="C18:D18"/>
    <mergeCell ref="A20:B20"/>
    <mergeCell ref="C22:D22"/>
    <mergeCell ref="C23:D23"/>
    <mergeCell ref="C30:D30"/>
    <mergeCell ref="A37:B37"/>
    <mergeCell ref="C49:D49"/>
    <mergeCell ref="A119:E119"/>
    <mergeCell ref="A105:E105"/>
    <mergeCell ref="A79:E79"/>
    <mergeCell ref="A59:E59"/>
    <mergeCell ref="A50:B50"/>
    <mergeCell ref="A99:C99"/>
    <mergeCell ref="C37:D37"/>
    <mergeCell ref="C57:D57"/>
    <mergeCell ref="A62:E62"/>
    <mergeCell ref="A64:C64"/>
    <mergeCell ref="A136:C136"/>
    <mergeCell ref="A215:E215"/>
    <mergeCell ref="A175:C175"/>
    <mergeCell ref="A204:C204"/>
    <mergeCell ref="A155:E155"/>
    <mergeCell ref="A157:C157"/>
    <mergeCell ref="A162:C162"/>
    <mergeCell ref="A202:E202"/>
    <mergeCell ref="C38:D38"/>
    <mergeCell ref="B632:C636"/>
    <mergeCell ref="A625:A628"/>
    <mergeCell ref="C39:D39"/>
    <mergeCell ref="A221:C221"/>
    <mergeCell ref="A231:C231"/>
    <mergeCell ref="A256:C256"/>
    <mergeCell ref="A244:C244"/>
    <mergeCell ref="A318:C318"/>
    <mergeCell ref="A325:C325"/>
    <mergeCell ref="C1023:C1024"/>
    <mergeCell ref="H703:H704"/>
    <mergeCell ref="H745:H746"/>
    <mergeCell ref="H750:H751"/>
    <mergeCell ref="H754:H755"/>
    <mergeCell ref="H759:H760"/>
    <mergeCell ref="A914:E914"/>
    <mergeCell ref="C993:C996"/>
    <mergeCell ref="A907:B907"/>
    <mergeCell ref="C981:C982"/>
    <mergeCell ref="A1049:B1049"/>
    <mergeCell ref="C1041:C1042"/>
    <mergeCell ref="A1028:B1029"/>
    <mergeCell ref="H712:H713"/>
    <mergeCell ref="H719:H720"/>
    <mergeCell ref="H725:H726"/>
    <mergeCell ref="H732:H733"/>
    <mergeCell ref="H740:H741"/>
    <mergeCell ref="C1028:C1029"/>
    <mergeCell ref="A983:B983"/>
    <mergeCell ref="A1050:B1050"/>
    <mergeCell ref="A1051:B1056"/>
    <mergeCell ref="A1058:B1058"/>
    <mergeCell ref="A1075:B1075"/>
    <mergeCell ref="A1059:B1059"/>
    <mergeCell ref="C1051:C1056"/>
    <mergeCell ref="A1073:B1073"/>
    <mergeCell ref="A1078:B1078"/>
    <mergeCell ref="A1064:B1064"/>
    <mergeCell ref="A1062:B1062"/>
    <mergeCell ref="A1069:B1069"/>
    <mergeCell ref="A1070:B1070"/>
    <mergeCell ref="A1068:B1068"/>
    <mergeCell ref="A1063:B1063"/>
    <mergeCell ref="A1095:B1099"/>
    <mergeCell ref="A1061:B1061"/>
    <mergeCell ref="A1060:B1060"/>
    <mergeCell ref="A1076:B1076"/>
    <mergeCell ref="A1074:B1074"/>
    <mergeCell ref="A1065:B1065"/>
    <mergeCell ref="A1071:B1071"/>
    <mergeCell ref="A1067:B1067"/>
    <mergeCell ref="A1072:B1072"/>
    <mergeCell ref="A1066:B1066"/>
    <mergeCell ref="A986:B989"/>
    <mergeCell ref="A981:B982"/>
    <mergeCell ref="A984:B984"/>
    <mergeCell ref="A999:B999"/>
    <mergeCell ref="A998:B998"/>
    <mergeCell ref="C986:C989"/>
    <mergeCell ref="A1045:B1045"/>
    <mergeCell ref="A1041:B1042"/>
    <mergeCell ref="A1025:B1025"/>
    <mergeCell ref="A1022:B1022"/>
    <mergeCell ref="A1023:B1024"/>
    <mergeCell ref="A1031:B1031"/>
    <mergeCell ref="A1033:B1037"/>
    <mergeCell ref="A1039:B1039"/>
    <mergeCell ref="A1044:B1044"/>
    <mergeCell ref="A1032:B1032"/>
    <mergeCell ref="A769:B769"/>
    <mergeCell ref="C911:D911"/>
    <mergeCell ref="A1011:B1011"/>
    <mergeCell ref="A1027:B1027"/>
    <mergeCell ref="A993:B996"/>
    <mergeCell ref="A876:B879"/>
    <mergeCell ref="C876:C879"/>
    <mergeCell ref="C1004:C1008"/>
    <mergeCell ref="A1004:B1008"/>
    <mergeCell ref="A980:B980"/>
    <mergeCell ref="A754:B754"/>
    <mergeCell ref="A768:B768"/>
    <mergeCell ref="C766:C767"/>
    <mergeCell ref="A770:B770"/>
    <mergeCell ref="A755:B756"/>
    <mergeCell ref="A789:B789"/>
    <mergeCell ref="A759:B759"/>
    <mergeCell ref="C775:C780"/>
    <mergeCell ref="A765:B765"/>
    <mergeCell ref="A766:B767"/>
    <mergeCell ref="A251:C251"/>
    <mergeCell ref="A350:E350"/>
    <mergeCell ref="A352:C352"/>
    <mergeCell ref="A311:E311"/>
    <mergeCell ref="A284:E284"/>
    <mergeCell ref="A278:C278"/>
    <mergeCell ref="A289:C289"/>
    <mergeCell ref="A298:E298"/>
    <mergeCell ref="A300:C300"/>
    <mergeCell ref="A273:C273"/>
    <mergeCell ref="A30:B30"/>
    <mergeCell ref="C901:D901"/>
    <mergeCell ref="B935:C935"/>
    <mergeCell ref="A266:C266"/>
    <mergeCell ref="A640:A643"/>
    <mergeCell ref="A775:B780"/>
    <mergeCell ref="A42:B42"/>
    <mergeCell ref="A760:B762"/>
    <mergeCell ref="A217:C217"/>
    <mergeCell ref="A750:B750"/>
    <mergeCell ref="A313:C313"/>
    <mergeCell ref="C741:C742"/>
    <mergeCell ref="B719:C719"/>
    <mergeCell ref="A632:A636"/>
    <mergeCell ref="A411:C411"/>
    <mergeCell ref="A414:C414"/>
    <mergeCell ref="A669:A671"/>
    <mergeCell ref="A366:C366"/>
    <mergeCell ref="A330:E330"/>
    <mergeCell ref="A332:C332"/>
    <mergeCell ref="A305:C305"/>
    <mergeCell ref="A661:A665"/>
    <mergeCell ref="A443:E443"/>
    <mergeCell ref="A445:C445"/>
    <mergeCell ref="A356:C356"/>
    <mergeCell ref="A369:C369"/>
    <mergeCell ref="B623:C623"/>
    <mergeCell ref="A517:E517"/>
    <mergeCell ref="A409:E409"/>
    <mergeCell ref="A459:C459"/>
    <mergeCell ref="B647:C650"/>
    <mergeCell ref="A647:A650"/>
    <mergeCell ref="B733:C736"/>
    <mergeCell ref="B732:C732"/>
    <mergeCell ref="A654:A657"/>
    <mergeCell ref="B669:C671"/>
    <mergeCell ref="A720:A722"/>
    <mergeCell ref="A697:A700"/>
    <mergeCell ref="B681:C681"/>
    <mergeCell ref="A690:A693"/>
    <mergeCell ref="C1046:C1047"/>
    <mergeCell ref="A1046:B1047"/>
    <mergeCell ref="A882:B882"/>
    <mergeCell ref="A883:B885"/>
    <mergeCell ref="C883:C885"/>
    <mergeCell ref="A449:C449"/>
    <mergeCell ref="C746:C747"/>
    <mergeCell ref="A911:B911"/>
    <mergeCell ref="B617:C617"/>
    <mergeCell ref="A457:E457"/>
    <mergeCell ref="C25:D25"/>
    <mergeCell ref="A25:B25"/>
    <mergeCell ref="C796:C797"/>
    <mergeCell ref="A796:B797"/>
    <mergeCell ref="C832:C841"/>
    <mergeCell ref="A832:B841"/>
    <mergeCell ref="A423:E423"/>
    <mergeCell ref="A425:C425"/>
    <mergeCell ref="A432:C432"/>
    <mergeCell ref="B718:C718"/>
    <mergeCell ref="A463:C463"/>
    <mergeCell ref="A474:E474"/>
    <mergeCell ref="A476:C476"/>
    <mergeCell ref="A726:A729"/>
    <mergeCell ref="A519:C519"/>
    <mergeCell ref="B696:C696"/>
    <mergeCell ref="A592:C592"/>
    <mergeCell ref="A489:C489"/>
    <mergeCell ref="A498:C498"/>
    <mergeCell ref="B639:C639"/>
    <mergeCell ref="A560:C560"/>
    <mergeCell ref="A564:C564"/>
    <mergeCell ref="A540:E540"/>
    <mergeCell ref="C755:C756"/>
    <mergeCell ref="A542:C542"/>
    <mergeCell ref="B631:C631"/>
    <mergeCell ref="A733:A736"/>
    <mergeCell ref="A558:E558"/>
    <mergeCell ref="B712:C712"/>
    <mergeCell ref="B690:C693"/>
    <mergeCell ref="H617:H618"/>
    <mergeCell ref="H624:H625"/>
    <mergeCell ref="H631:H632"/>
    <mergeCell ref="A611:A614"/>
    <mergeCell ref="A574:C574"/>
    <mergeCell ref="A590:E590"/>
    <mergeCell ref="B625:C628"/>
    <mergeCell ref="B616:C616"/>
    <mergeCell ref="H639:H640"/>
    <mergeCell ref="B610:C610"/>
    <mergeCell ref="B640:C643"/>
    <mergeCell ref="B622:C622"/>
    <mergeCell ref="B630:C630"/>
    <mergeCell ref="H660:H661"/>
    <mergeCell ref="B653:C653"/>
    <mergeCell ref="B661:C665"/>
    <mergeCell ref="B654:C657"/>
    <mergeCell ref="H610:H611"/>
    <mergeCell ref="H668:H669"/>
    <mergeCell ref="H674:H675"/>
    <mergeCell ref="H681:H682"/>
    <mergeCell ref="H689:H690"/>
    <mergeCell ref="H696:H697"/>
    <mergeCell ref="H963:H964"/>
    <mergeCell ref="H774:H775"/>
    <mergeCell ref="H783:H784"/>
    <mergeCell ref="H789:H790"/>
    <mergeCell ref="H795:H796"/>
    <mergeCell ref="H972:H973"/>
    <mergeCell ref="H831:H832"/>
    <mergeCell ref="H844:H845"/>
    <mergeCell ref="H851:H852"/>
    <mergeCell ref="H858:H859"/>
    <mergeCell ref="H1114:H1115"/>
    <mergeCell ref="H980:H981"/>
    <mergeCell ref="H985:H986"/>
    <mergeCell ref="H992:H993"/>
    <mergeCell ref="H999:H1000"/>
    <mergeCell ref="H1119:H1120"/>
    <mergeCell ref="H1045:H1046"/>
    <mergeCell ref="H1050:H1051"/>
    <mergeCell ref="H1059:H1060"/>
    <mergeCell ref="H1063:H1064"/>
    <mergeCell ref="H1075:H1076"/>
    <mergeCell ref="H1079:H1080"/>
    <mergeCell ref="H1087:H1088"/>
    <mergeCell ref="H1094:H1095"/>
    <mergeCell ref="H1102:H1103"/>
    <mergeCell ref="H1106:H1107"/>
    <mergeCell ref="H1003:H1004"/>
    <mergeCell ref="H1011:H1012"/>
    <mergeCell ref="H1022:H1023"/>
    <mergeCell ref="H1027:H1028"/>
    <mergeCell ref="H1032:H1033"/>
    <mergeCell ref="H1040:H1041"/>
    <mergeCell ref="H1067:H1068"/>
    <mergeCell ref="H1071:H1072"/>
    <mergeCell ref="A1148:B1148"/>
    <mergeCell ref="A1149:B1149"/>
    <mergeCell ref="H1126:H1127"/>
    <mergeCell ref="H1134:H1135"/>
    <mergeCell ref="H1139:H1140"/>
    <mergeCell ref="A1138:B1138"/>
    <mergeCell ref="A1139:B1139"/>
    <mergeCell ref="A1140:B1141"/>
    <mergeCell ref="A1135:B1136"/>
    <mergeCell ref="C1135:C1136"/>
    <mergeCell ref="C1080:C1084"/>
    <mergeCell ref="A1080:B1084"/>
    <mergeCell ref="A1143:B1143"/>
    <mergeCell ref="A1144:B1144"/>
    <mergeCell ref="C1140:C1141"/>
    <mergeCell ref="A1101:B1101"/>
    <mergeCell ref="A1093:B1093"/>
    <mergeCell ref="A1094:B1094"/>
    <mergeCell ref="A1086:B1086"/>
    <mergeCell ref="C1088:C1091"/>
    <mergeCell ref="C21:D21"/>
    <mergeCell ref="A21:B21"/>
    <mergeCell ref="A23:B23"/>
    <mergeCell ref="C42:D42"/>
    <mergeCell ref="A487:E487"/>
    <mergeCell ref="C48:D48"/>
    <mergeCell ref="A48:B48"/>
    <mergeCell ref="C56:D56"/>
    <mergeCell ref="A56:B56"/>
    <mergeCell ref="A438:C438"/>
    <mergeCell ref="A1153:B1153"/>
    <mergeCell ref="C45:D45"/>
    <mergeCell ref="C46:D46"/>
    <mergeCell ref="A45:B45"/>
    <mergeCell ref="A46:B46"/>
    <mergeCell ref="A888:B888"/>
    <mergeCell ref="A53:B53"/>
    <mergeCell ref="A546:C546"/>
    <mergeCell ref="C1107:C1111"/>
    <mergeCell ref="A1107:B1111"/>
    <mergeCell ref="C1155:C1156"/>
    <mergeCell ref="H1154:H1155"/>
    <mergeCell ref="C784:C786"/>
    <mergeCell ref="A784:B786"/>
    <mergeCell ref="H888:H889"/>
    <mergeCell ref="A889:B889"/>
    <mergeCell ref="H1144:H1145"/>
    <mergeCell ref="H1149:H1150"/>
    <mergeCell ref="A1150:B1151"/>
    <mergeCell ref="C1150:C1151"/>
    <mergeCell ref="A1160:B1160"/>
    <mergeCell ref="T1160:X1160"/>
    <mergeCell ref="C36:D36"/>
    <mergeCell ref="A36:B36"/>
    <mergeCell ref="C44:D44"/>
    <mergeCell ref="C53:D53"/>
    <mergeCell ref="C55:D55"/>
    <mergeCell ref="A44:B44"/>
    <mergeCell ref="A1154:B1154"/>
    <mergeCell ref="H1159:H1160"/>
    <mergeCell ref="A1159:B1159"/>
    <mergeCell ref="C893:C894"/>
    <mergeCell ref="A893:B894"/>
    <mergeCell ref="A55:B55"/>
    <mergeCell ref="C8:D8"/>
    <mergeCell ref="C20:D20"/>
    <mergeCell ref="A8:B8"/>
    <mergeCell ref="A22:B22"/>
    <mergeCell ref="A1158:B1158"/>
    <mergeCell ref="A1155:B1156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17" manualBreakCount="17">
    <brk id="59" max="4" man="1"/>
    <brk id="117" max="4" man="1"/>
    <brk id="180" max="4" man="1"/>
    <brk id="243" max="4" man="1"/>
    <brk id="304" max="4" man="1"/>
    <brk id="365" max="4" man="1"/>
    <brk id="431" max="4" man="1"/>
    <brk id="485" max="4" man="1"/>
    <brk id="545" max="4" man="1"/>
    <brk id="614" max="4" man="1"/>
    <brk id="693" max="4" man="1"/>
    <brk id="771" max="4" man="1"/>
    <brk id="848" max="4" man="1"/>
    <brk id="927" max="4" man="1"/>
    <brk id="1000" max="4" man="1"/>
    <brk id="1076" max="4" man="1"/>
    <brk id="11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3" zoomScaleSheetLayoutView="93" zoomScalePageLayoutView="0" workbookViewId="0" topLeftCell="A6">
      <selection activeCell="E27" sqref="E27"/>
    </sheetView>
  </sheetViews>
  <sheetFormatPr defaultColWidth="9.140625" defaultRowHeight="12.75"/>
  <cols>
    <col min="1" max="1" width="23.140625" style="0" customWidth="1"/>
    <col min="2" max="2" width="69.8515625" style="25" customWidth="1"/>
    <col min="3" max="3" width="24.8515625" style="0" customWidth="1"/>
    <col min="4" max="4" width="9.7109375" style="0" hidden="1" customWidth="1"/>
    <col min="5" max="5" width="119.7109375" style="0" customWidth="1"/>
  </cols>
  <sheetData>
    <row r="1" spans="1:3" ht="18">
      <c r="A1" s="342" t="s">
        <v>84</v>
      </c>
      <c r="B1" s="342"/>
      <c r="C1" s="342"/>
    </row>
    <row r="2" spans="1:2" ht="12.75">
      <c r="A2" s="30" t="str">
        <f>scrap!A2</f>
        <v>E - Auction Notice No. -</v>
      </c>
      <c r="B2" s="29" t="str">
        <f>scrap!D2</f>
        <v>EA-67 /PTA-2023-24</v>
      </c>
    </row>
    <row r="3" spans="1:2" ht="12.75">
      <c r="A3" s="30" t="str">
        <f>scrap!A3</f>
        <v>Date of Auction -</v>
      </c>
      <c r="B3" s="29" t="str">
        <f>scrap!D3</f>
        <v>30.01.2024</v>
      </c>
    </row>
    <row r="4" spans="1:2" ht="12.75">
      <c r="A4" s="30"/>
      <c r="B4" s="29"/>
    </row>
    <row r="5" spans="1:3" s="26" customFormat="1" ht="20.25" customHeight="1">
      <c r="A5" s="79" t="s">
        <v>5</v>
      </c>
      <c r="B5" s="157" t="s">
        <v>81</v>
      </c>
      <c r="C5" s="156" t="s">
        <v>82</v>
      </c>
    </row>
    <row r="6" spans="1:5" s="26" customFormat="1" ht="20.25" customHeight="1">
      <c r="A6" s="86" t="s">
        <v>696</v>
      </c>
      <c r="B6" s="106" t="s">
        <v>160</v>
      </c>
      <c r="C6" s="46">
        <v>343</v>
      </c>
      <c r="D6" s="259"/>
      <c r="E6" s="103" t="str">
        <f aca="true" t="shared" si="0" ref="E6:E13">CONCATENATE("E-Waste Scrap (Meter scrap), Lying at ",B6,". Quantity in Kg - ",C6,)</f>
        <v>E-Waste Scrap (Meter scrap), Lying at ME LAB PATIALA (Crushed Meter Scrap/E-Waste). Quantity in Kg - 343</v>
      </c>
    </row>
    <row r="7" spans="1:5" s="26" customFormat="1" ht="20.25" customHeight="1">
      <c r="A7" s="86" t="s">
        <v>273</v>
      </c>
      <c r="B7" s="106" t="s">
        <v>152</v>
      </c>
      <c r="C7" s="46">
        <v>1025</v>
      </c>
      <c r="D7" s="135"/>
      <c r="E7" s="103" t="str">
        <f t="shared" si="0"/>
        <v>E-Waste Scrap (Meter scrap), Lying at ME LAB SANGRUR (Crushed Meter Scrap/E-Waste). Quantity in Kg - 1025</v>
      </c>
    </row>
    <row r="8" spans="1:5" s="26" customFormat="1" ht="20.25" customHeight="1">
      <c r="A8" s="86" t="s">
        <v>274</v>
      </c>
      <c r="B8" s="106" t="s">
        <v>153</v>
      </c>
      <c r="C8" s="46">
        <v>139</v>
      </c>
      <c r="D8" s="135"/>
      <c r="E8" s="103" t="str">
        <f t="shared" si="0"/>
        <v>E-Waste Scrap (Meter scrap), Lying at ME LAB ROPAR (Crushed Meter Scrap/E-Waste). Quantity in Kg - 139</v>
      </c>
    </row>
    <row r="9" spans="1:5" s="26" customFormat="1" ht="20.25" customHeight="1">
      <c r="A9" s="86" t="s">
        <v>275</v>
      </c>
      <c r="B9" s="106" t="s">
        <v>271</v>
      </c>
      <c r="C9" s="46">
        <v>625.39</v>
      </c>
      <c r="D9" s="135"/>
      <c r="E9" s="103" t="str">
        <f t="shared" si="0"/>
        <v>E-Waste Scrap (Meter scrap), Lying at ME LAB MOGA (Crushed Meter Scrap/E-Waste). Quantity in Kg - 625.39</v>
      </c>
    </row>
    <row r="10" spans="1:5" s="26" customFormat="1" ht="20.25" customHeight="1">
      <c r="A10" s="86" t="s">
        <v>276</v>
      </c>
      <c r="B10" s="106" t="s">
        <v>272</v>
      </c>
      <c r="C10" s="46">
        <v>1364.12</v>
      </c>
      <c r="D10" s="135"/>
      <c r="E10" s="103" t="str">
        <f t="shared" si="0"/>
        <v>E-Waste Scrap (Meter scrap), Lying at ME LAB SHRI MUKTSAR SAHIB (Crushed Meter Scrap/E-Waste). Quantity in Kg - 1364.12</v>
      </c>
    </row>
    <row r="11" spans="1:5" s="26" customFormat="1" ht="20.25" customHeight="1">
      <c r="A11" s="86" t="s">
        <v>277</v>
      </c>
      <c r="B11" s="108" t="s">
        <v>439</v>
      </c>
      <c r="C11" s="73">
        <v>855</v>
      </c>
      <c r="D11" s="135"/>
      <c r="E11" s="103" t="str">
        <f t="shared" si="0"/>
        <v>E-Waste Scrap (Meter scrap), Lying at ME LAB ROPAR  (Electronic Meter Scrap/E-Waste )  . Quantity in Kg - 855</v>
      </c>
    </row>
    <row r="12" spans="1:5" s="26" customFormat="1" ht="20.25" customHeight="1">
      <c r="A12" s="86" t="s">
        <v>326</v>
      </c>
      <c r="B12" s="257" t="s">
        <v>451</v>
      </c>
      <c r="C12" s="258">
        <v>795.45</v>
      </c>
      <c r="D12" s="135">
        <v>645.45</v>
      </c>
      <c r="E12" s="103" t="str">
        <f t="shared" si="0"/>
        <v>E-Waste Scrap (Meter scrap), Lying at ME LAB BATHINDA  (Electronic Meter Scrap/E-Waste )  . Quantity in Kg - 795.45</v>
      </c>
    </row>
    <row r="13" spans="1:5" s="26" customFormat="1" ht="20.25" customHeight="1">
      <c r="A13" s="86" t="s">
        <v>429</v>
      </c>
      <c r="B13" s="257" t="s">
        <v>452</v>
      </c>
      <c r="C13" s="258">
        <v>905.796</v>
      </c>
      <c r="D13" s="135">
        <v>690.14</v>
      </c>
      <c r="E13" s="103" t="str">
        <f t="shared" si="0"/>
        <v>E-Waste Scrap (Meter scrap), Lying at ME LAB MOGA (Electronic Meter Scrap/E-Waste )  . Quantity in Kg - 905.796</v>
      </c>
    </row>
    <row r="14" spans="1:5" s="26" customFormat="1" ht="20.25" customHeight="1">
      <c r="A14" s="146"/>
      <c r="B14" s="85"/>
      <c r="C14" s="147"/>
      <c r="D14" s="148"/>
      <c r="E14" s="149"/>
    </row>
    <row r="15" spans="1:5" s="26" customFormat="1" ht="37.5" customHeight="1">
      <c r="A15" s="343" t="s">
        <v>383</v>
      </c>
      <c r="B15" s="343"/>
      <c r="C15" s="343"/>
      <c r="D15" s="150"/>
      <c r="E15" s="151"/>
    </row>
    <row r="16" spans="1:5" s="26" customFormat="1" ht="20.25" customHeight="1">
      <c r="A16" s="343"/>
      <c r="B16" s="343"/>
      <c r="C16" s="343"/>
      <c r="D16" s="151"/>
      <c r="E16" s="151"/>
    </row>
    <row r="17" spans="1:5" s="26" customFormat="1" ht="39.75" customHeight="1">
      <c r="A17" s="343"/>
      <c r="B17" s="343"/>
      <c r="C17" s="343"/>
      <c r="D17" s="148"/>
      <c r="E17" s="149"/>
    </row>
    <row r="18" spans="1:5" s="26" customFormat="1" ht="15" customHeight="1">
      <c r="A18" s="152"/>
      <c r="B18" s="155" t="s">
        <v>215</v>
      </c>
      <c r="C18" s="156" t="s">
        <v>382</v>
      </c>
      <c r="D18" s="148"/>
      <c r="E18" s="149"/>
    </row>
    <row r="19" spans="1:5" s="26" customFormat="1" ht="20.25" customHeight="1">
      <c r="A19" s="86" t="s">
        <v>430</v>
      </c>
      <c r="B19" s="108" t="s">
        <v>380</v>
      </c>
      <c r="C19" s="153">
        <v>1</v>
      </c>
      <c r="D19" s="135"/>
      <c r="E19" s="103" t="str">
        <f>CONCATENATE("E-Waste Scrap (U/S AC WINDOW), Lying at ",B19,". Quantity in No - ",C19,)</f>
        <v>E-Waste Scrap (U/S AC WINDOW), Lying at CS SANGRUR (U/S AC WINDOW). Quantity in No - 1</v>
      </c>
    </row>
    <row r="20" spans="1:5" s="26" customFormat="1" ht="20.25" customHeight="1">
      <c r="A20" s="86" t="s">
        <v>431</v>
      </c>
      <c r="B20" s="108" t="s">
        <v>381</v>
      </c>
      <c r="C20" s="153">
        <v>16</v>
      </c>
      <c r="D20" s="135"/>
      <c r="E20" s="103" t="str">
        <f>CONCATENATE("E-Waste Scrap (U/S AC WINDOW), Lying at ",B20,". Quantity in No - ",C20,)</f>
        <v>E-Waste Scrap (U/S AC WINDOW), Lying at CS PATIALA  (U/S AC WINDOW). Quantity in No - 16</v>
      </c>
    </row>
    <row r="21" spans="1:5" s="26" customFormat="1" ht="20.25" customHeight="1">
      <c r="A21" s="86" t="s">
        <v>453</v>
      </c>
      <c r="B21" s="108" t="s">
        <v>391</v>
      </c>
      <c r="C21" s="153">
        <v>19</v>
      </c>
      <c r="D21" s="135"/>
      <c r="E21" s="103" t="str">
        <f>CONCATENATE("E-Waste Scrap (U/S STABLIZERS), Lying at ",B21,". Quantity in No - ",C21,)</f>
        <v>E-Waste Scrap (U/S STABLIZERS), Lying at CS PATIALA  (U/S STABLIZERS). Quantity in No - 19</v>
      </c>
    </row>
    <row r="22" spans="1:5" s="26" customFormat="1" ht="20.25" customHeight="1">
      <c r="A22" s="86" t="s">
        <v>454</v>
      </c>
      <c r="B22" s="108" t="s">
        <v>694</v>
      </c>
      <c r="C22" s="153">
        <v>5</v>
      </c>
      <c r="D22" s="135"/>
      <c r="E22" s="103" t="str">
        <f>CONCATENATE("E-Waste Scrap (U/S AC SPLIT), Lying at ",B22,". Quantity in No - ",C22,)</f>
        <v>E-Waste Scrap (U/S AC SPLIT), Lying at CS PATIALA  (U/S AC SPLIT). Quantity in No - 5</v>
      </c>
    </row>
    <row r="23" spans="1:5" s="26" customFormat="1" ht="20.25" customHeight="1">
      <c r="A23" s="146"/>
      <c r="B23" s="160"/>
      <c r="C23" s="159"/>
      <c r="D23" s="148"/>
      <c r="E23" s="149"/>
    </row>
    <row r="24" spans="1:3" s="26" customFormat="1" ht="15" customHeight="1">
      <c r="A24" s="36"/>
      <c r="B24" s="37"/>
      <c r="C24" s="85"/>
    </row>
    <row r="25" spans="1:3" s="26" customFormat="1" ht="15.75">
      <c r="A25" s="31" t="s">
        <v>83</v>
      </c>
      <c r="B25" s="32" t="s">
        <v>87</v>
      </c>
      <c r="C25" s="33" t="s">
        <v>86</v>
      </c>
    </row>
    <row r="26" spans="1:3" s="26" customFormat="1" ht="15.75">
      <c r="A26" s="31" t="s">
        <v>85</v>
      </c>
      <c r="B26" s="31" t="s">
        <v>85</v>
      </c>
      <c r="C26" s="31" t="s">
        <v>85</v>
      </c>
    </row>
    <row r="27" spans="1:3" s="26" customFormat="1" ht="15">
      <c r="A27" s="27"/>
      <c r="B27" s="28"/>
      <c r="C27" s="27"/>
    </row>
  </sheetData>
  <sheetProtection/>
  <mergeCells count="2">
    <mergeCell ref="A1:C1"/>
    <mergeCell ref="A15:C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2024-01-25T09:28:28Z</cp:lastPrinted>
  <dcterms:created xsi:type="dcterms:W3CDTF">1996-10-14T23:33:28Z</dcterms:created>
  <dcterms:modified xsi:type="dcterms:W3CDTF">2024-01-25T09:42:58Z</dcterms:modified>
  <cp:category/>
  <cp:version/>
  <cp:contentType/>
  <cp:contentStatus/>
</cp:coreProperties>
</file>