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773" activeTab="0"/>
  </bookViews>
  <sheets>
    <sheet name="scrap" sheetId="1" r:id="rId1"/>
    <sheet name="E-WASTE" sheetId="2" r:id="rId2"/>
  </sheets>
  <definedNames>
    <definedName name="_xlnm.Print_Area" localSheetId="1">'E-WASTE'!$A$1:$C$30</definedName>
    <definedName name="_xlnm.Print_Area" localSheetId="0">'scrap'!$A$1:$E$1163</definedName>
  </definedNames>
  <calcPr fullCalcOnLoad="1"/>
</workbook>
</file>

<file path=xl/sharedStrings.xml><?xml version="1.0" encoding="utf-8"?>
<sst xmlns="http://schemas.openxmlformats.org/spreadsheetml/2006/main" count="1896" uniqueCount="713">
  <si>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</si>
  <si>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</si>
  <si>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</si>
  <si>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</si>
  <si>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</si>
  <si>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</si>
  <si>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</si>
  <si>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</si>
  <si>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</si>
  <si>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</si>
  <si>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</si>
  <si>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</si>
  <si>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</si>
  <si>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</si>
  <si>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</si>
  <si>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</si>
  <si>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</si>
  <si>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</si>
  <si>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</si>
  <si>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</si>
  <si>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</si>
  <si>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</si>
  <si>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</si>
  <si>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</si>
  <si>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</si>
  <si>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</si>
  <si>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</si>
  <si>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</si>
  <si>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</si>
  <si>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</si>
  <si>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</si>
  <si>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</si>
  <si>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</si>
  <si>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</si>
  <si>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</si>
  <si>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</si>
  <si>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</si>
  <si>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</si>
  <si>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</si>
  <si>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</si>
  <si>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</si>
  <si>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</si>
  <si>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</si>
  <si>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</si>
  <si>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</si>
  <si>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</si>
  <si>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</si>
  <si>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</si>
  <si>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</si>
  <si>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</si>
  <si>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</si>
  <si>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</si>
  <si>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</si>
  <si>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</si>
  <si>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</si>
  <si>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</si>
  <si>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</si>
  <si>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</si>
  <si>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</si>
  <si>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</si>
  <si>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</si>
  <si>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</si>
  <si>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</si>
  <si>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</si>
  <si>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</si>
  <si>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</si>
  <si>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</si>
  <si>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</si>
  <si>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</si>
  <si>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</si>
  <si>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</si>
  <si>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</si>
  <si>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</si>
  <si>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</si>
  <si>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</si>
  <si>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</si>
  <si>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</si>
  <si>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</si>
  <si>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</si>
  <si>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</si>
  <si>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</si>
  <si>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</si>
  <si>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</si>
  <si>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</si>
  <si>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</si>
  <si>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</si>
  <si>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</si>
  <si>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</si>
  <si>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</si>
  <si>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</si>
  <si>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</si>
  <si>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</si>
  <si>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</si>
  <si>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</si>
  <si>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</si>
  <si>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</si>
  <si>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</si>
  <si>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</si>
  <si>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</si>
  <si>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</si>
  <si>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</si>
  <si>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</si>
  <si>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</si>
  <si>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</si>
  <si>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</si>
  <si>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</si>
  <si>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</si>
  <si>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</si>
  <si>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</si>
  <si>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</si>
  <si>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</si>
  <si>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</si>
  <si>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</si>
  <si>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</si>
  <si>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</si>
  <si>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</si>
  <si>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</si>
  <si>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</si>
  <si>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</si>
  <si>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</si>
  <si>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</si>
  <si>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</si>
  <si>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</si>
  <si>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</si>
  <si>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</si>
  <si>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</si>
  <si>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</si>
  <si>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</si>
  <si>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</si>
  <si>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</si>
  <si>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</si>
  <si>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</si>
  <si>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</si>
  <si>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</si>
  <si>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</si>
  <si>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</si>
  <si>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</si>
  <si>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</si>
  <si>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</si>
  <si>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</si>
  <si>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</si>
  <si>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</si>
  <si>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</si>
  <si>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</si>
  <si>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</si>
  <si>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</si>
  <si>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</si>
  <si>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</si>
  <si>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</si>
  <si>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</si>
  <si>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</si>
  <si>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</si>
  <si>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</si>
  <si>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</si>
  <si>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</si>
  <si>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</si>
  <si>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</si>
  <si>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</si>
  <si>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</si>
  <si>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</si>
  <si>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</si>
  <si>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</si>
  <si>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</si>
  <si>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</si>
  <si>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</si>
  <si>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</si>
  <si>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</si>
  <si>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</si>
  <si>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</si>
  <si>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</si>
  <si>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</si>
  <si>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</si>
  <si>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</si>
  <si>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</si>
  <si>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</si>
  <si>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</si>
  <si>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</si>
  <si>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</si>
  <si>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</si>
  <si>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</si>
  <si>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</si>
  <si>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</si>
  <si>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</si>
  <si>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</si>
  <si>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</si>
  <si>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</si>
  <si>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</si>
  <si>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</si>
  <si>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</si>
  <si>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</si>
  <si>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</si>
  <si>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</si>
  <si>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</si>
  <si>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</si>
  <si>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</si>
  <si>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</si>
  <si>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</si>
  <si>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</si>
  <si>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</si>
  <si>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</si>
  <si>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</si>
  <si>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</si>
  <si>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</si>
  <si>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</si>
  <si>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</si>
  <si>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</si>
  <si>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</si>
  <si>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</si>
  <si>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</si>
  <si>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</si>
  <si>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</si>
  <si>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</si>
  <si>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</si>
  <si>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</si>
  <si>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</si>
  <si>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</si>
  <si>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</si>
  <si>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</si>
  <si>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</si>
  <si>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</si>
  <si>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</si>
  <si>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</si>
  <si>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</si>
  <si>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</si>
  <si>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</si>
  <si>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</si>
  <si>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</si>
  <si>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</si>
  <si>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</si>
  <si>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</si>
  <si>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</si>
  <si>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</si>
  <si>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</si>
  <si>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</si>
  <si>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</si>
  <si>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</si>
  <si>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</si>
  <si>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</si>
  <si>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</si>
  <si>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</si>
  <si>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</si>
  <si>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</si>
  <si>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t>NEW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</si>
  <si>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</si>
  <si>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</si>
  <si>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</si>
  <si>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</si>
  <si>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</si>
  <si>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</si>
  <si>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</si>
  <si>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</si>
  <si>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</si>
  <si>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</si>
  <si>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</si>
  <si>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</si>
  <si>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</si>
  <si>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</si>
  <si>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</si>
  <si>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</si>
  <si>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</si>
  <si>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</si>
  <si>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</si>
  <si>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</si>
  <si>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</si>
  <si>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</si>
  <si>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</si>
  <si>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</si>
  <si>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</si>
  <si>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</si>
  <si>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</si>
  <si>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</si>
  <si>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</si>
  <si>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</si>
  <si>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</si>
  <si>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</si>
  <si>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</si>
  <si>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</si>
  <si>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</si>
  <si>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</si>
  <si>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</si>
  <si>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</si>
  <si>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</si>
  <si>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</si>
  <si>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</si>
  <si>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</si>
  <si>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</si>
  <si>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</si>
  <si>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</si>
  <si>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</si>
  <si>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CS Mohali (.314 MT intermingle)</t>
  </si>
  <si>
    <t>PP-1, SICL-1, MCPL-1</t>
  </si>
  <si>
    <t>SARAF-1, SICL-2, PP-1, NUCON-1,DURA-2, SHIVALIK-3</t>
  </si>
  <si>
    <t>WNP-8  (unstandard tf's)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</si>
  <si>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</si>
  <si>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</si>
  <si>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</si>
  <si>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DAUSA - 1, PTEL - 1, SIC-1</t>
  </si>
  <si>
    <t>SARAF - 2, PP - 1</t>
  </si>
  <si>
    <t>WNP-14 (unstandard tf's)</t>
  </si>
  <si>
    <t>WNP-7 (unstandard tf's)</t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</si>
  <si>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</si>
  <si>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</si>
  <si>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</si>
  <si>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</si>
  <si>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</si>
  <si>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</si>
  <si>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</si>
  <si>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</si>
  <si>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</si>
  <si>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</si>
  <si>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</si>
  <si>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</si>
  <si>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</si>
  <si>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</si>
  <si>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</si>
  <si>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</si>
  <si>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</si>
  <si>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</si>
  <si>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</si>
  <si>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</si>
  <si>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new</t>
  </si>
  <si>
    <t>Lot no. E - 16</t>
  </si>
  <si>
    <t>Lot No A-15</t>
  </si>
  <si>
    <t>Lot No A-16</t>
  </si>
  <si>
    <t>Lot No A-17</t>
  </si>
  <si>
    <t>Central Store Malout</t>
  </si>
  <si>
    <t>Lot no. I-7</t>
  </si>
  <si>
    <t>OL Shri Mukfsar Sahib</t>
  </si>
  <si>
    <t xml:space="preserve">ME LAB SHRI MUKSAR SAHIB  (Electronic Meter Scrap/E-Waste )  </t>
  </si>
  <si>
    <t>Lot No. I-15</t>
  </si>
  <si>
    <t>TRY Barnala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</si>
  <si>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</si>
  <si>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</si>
  <si>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</si>
  <si>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</si>
  <si>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</si>
  <si>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</si>
  <si>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</si>
  <si>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>KKK/2023/157</t>
  </si>
  <si>
    <t xml:space="preserve">NPC = 2, HRP = 2, JK = 1, MRN = 1, JB = 3, DTPL = 3, PP = 1, SIC = 1, JR = 1, WNP = 1, SHK = 1, SSK = 1, TA = 1, PTEL = 1                </t>
  </si>
  <si>
    <t>KKK/2023/160</t>
  </si>
  <si>
    <t xml:space="preserve">DTPL = 6, JB = 1, ASI = 2, PP = 2, SUSHIL = 1, MUSKAN = 1,  HTT = 1, UBE = 1, JR = 2, WNP = 1                                                      </t>
  </si>
  <si>
    <t>KKK/2023/162</t>
  </si>
  <si>
    <t xml:space="preserve">UBE = 1, PP = 2, SKSU = 1, NSL = 1, TA = 1, NPC = 1                </t>
  </si>
  <si>
    <t>KKK/2023/165</t>
  </si>
  <si>
    <t xml:space="preserve">NPC = 1, TA = 2, SHK = 2, MRN = 1, HRP = 1, DTPL = 1, SEF = 1, PP = 1                                                                                          </t>
  </si>
  <si>
    <t>KKK/2023/159</t>
  </si>
  <si>
    <t xml:space="preserve">EPS = 6, SIC = 1, JB = 7, PTEL = 1, ARD = 3                           </t>
  </si>
  <si>
    <t>KKK/2023/164</t>
  </si>
  <si>
    <t>25 KVA (BODY &amp; CORE)</t>
  </si>
  <si>
    <t xml:space="preserve">PTEL = 2, TA = 1, NPC = 3, SEF = 2                                              </t>
  </si>
  <si>
    <t>KKK/2023/166</t>
  </si>
  <si>
    <t xml:space="preserve">SIC = 1, ECE = 1, JB = 1                                                                               </t>
  </si>
  <si>
    <t>KKK/2023/167</t>
  </si>
  <si>
    <t xml:space="preserve">SEF = 1, WNP = 1                                                                              </t>
  </si>
  <si>
    <t>KKK/2023/161</t>
  </si>
  <si>
    <t xml:space="preserve">WNP =20.(unstandard tf's)                                                                     </t>
  </si>
  <si>
    <t>KKK/2023/163</t>
  </si>
  <si>
    <t xml:space="preserve">WNP =1.(unstandard tf's)                                                                     </t>
  </si>
  <si>
    <t>KKK/2023/168</t>
  </si>
  <si>
    <t xml:space="preserve">WNP =6.(unstandard tf's)                                                                     </t>
  </si>
  <si>
    <t>KKK/2023/158</t>
  </si>
  <si>
    <t xml:space="preserve">6.3  KVA                  </t>
  </si>
  <si>
    <t xml:space="preserve">WNP =8.(unstandard tf's)                                                                     </t>
  </si>
  <si>
    <t xml:space="preserve">10 KVA             </t>
  </si>
  <si>
    <t>PP -1</t>
  </si>
  <si>
    <t>PP-1, RR-1, SARAF-1, SHIVALIK-2</t>
  </si>
  <si>
    <t xml:space="preserve">WNP =2.(unstandard tf's)                                                                     </t>
  </si>
  <si>
    <t>SICL-3, PTEL-7, BGL-1, JB-2, ECO-1, PVJ-1, NBGL-1, MS-1, PP-1, JINDAL-1,DURA-1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</si>
  <si>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</si>
  <si>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</si>
  <si>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</si>
  <si>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</si>
  <si>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</si>
  <si>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</si>
  <si>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</si>
  <si>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</si>
  <si>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</si>
  <si>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</si>
  <si>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</si>
  <si>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</si>
  <si>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</si>
  <si>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</si>
  <si>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</si>
  <si>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</si>
  <si>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</si>
  <si>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</si>
  <si>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</si>
  <si>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</si>
  <si>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</si>
  <si>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</si>
  <si>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</si>
  <si>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</si>
  <si>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>Iron scrap of Bush fixings</t>
  </si>
  <si>
    <t>CS PATIALA  (U/S STABLIZERS)</t>
  </si>
  <si>
    <t>NUCON 1, JR 2, PP 1, SKSU 1,</t>
  </si>
  <si>
    <t>PP 1, SKSU 1, JR 5, SICL 2, DURABLE 2, SHIVSHKTI 1</t>
  </si>
  <si>
    <t>JB 8, SICL 1, PTEL 1, ARD 1</t>
  </si>
  <si>
    <t>M&amp;M 1, JR 2, NPC 1,</t>
  </si>
  <si>
    <t>SICL 1, JB 1, RTS 1</t>
  </si>
  <si>
    <t>MRN 1,</t>
  </si>
  <si>
    <t>SICL 2, MANU POWER 1</t>
  </si>
  <si>
    <t>SICL 1, HITECH 2, JB 1,</t>
  </si>
  <si>
    <t xml:space="preserve">NPC 1, PP 1(unstandard tf's)      </t>
  </si>
  <si>
    <t xml:space="preserve">JR 1, AGARWAL 1,(unstandard tf's)      </t>
  </si>
  <si>
    <t>195/2023</t>
  </si>
  <si>
    <t>196/2023</t>
  </si>
  <si>
    <t>197/2023</t>
  </si>
  <si>
    <t>198/2023</t>
  </si>
  <si>
    <t>199/2023</t>
  </si>
  <si>
    <t>201/2023</t>
  </si>
  <si>
    <t>202/2023</t>
  </si>
  <si>
    <t>203/2023</t>
  </si>
  <si>
    <t>200/2023</t>
  </si>
  <si>
    <t>204/2023</t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</si>
  <si>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</si>
  <si>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</si>
  <si>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</si>
  <si>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</si>
  <si>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</si>
  <si>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</si>
  <si>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</si>
  <si>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</si>
  <si>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</si>
  <si>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</si>
  <si>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</si>
  <si>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SHRI KRISHNA-1,SARAF-1</t>
  </si>
  <si>
    <t>AGGARWAL-7,GTB-1,HR-1,JB-1,JR-2,MS-5,SICL-2,SUSHIL-2, UTTAM-3</t>
  </si>
  <si>
    <t>SICL-1,NUCON-1,JB-1,MUSKAN-1,VKG-1</t>
  </si>
  <si>
    <t>WNP-23 (unstandard tf's)</t>
  </si>
  <si>
    <t>WNP-17 (unstandard tf's)</t>
  </si>
  <si>
    <t>Lot No AA-2</t>
  </si>
  <si>
    <t>Lot No. I-16</t>
  </si>
  <si>
    <t>Lot No. I-17</t>
  </si>
  <si>
    <t>Lot No. I-18</t>
  </si>
  <si>
    <t>DURABLE=1,HRP=3.JB=1,JM=1,JR=3,MS=2,NUCON=4,PP=4,SARAF=1,SHIVA=1,TA=4</t>
  </si>
  <si>
    <t>ARD=3,ECO=4,JB=12,PTEL=1,SICL=5</t>
  </si>
  <si>
    <t>ARD=2,ECO=1,JB=12,JR=1,PTEL=5,SICL=4</t>
  </si>
  <si>
    <t>ARD=1,ECO=3.JB=16,PP=1,PTEL=2,SICL=2</t>
  </si>
  <si>
    <t>ARD=4,ECO=5,JB=10,JR=2,PTEL=1,SICL=3</t>
  </si>
  <si>
    <t>25 KVA (CORE &amp; TANK)</t>
  </si>
  <si>
    <t>LIBERTY T/FS BATHINDA -24</t>
  </si>
  <si>
    <t xml:space="preserve">ME LAB SANGRUR  (Electronic Meter Scrap/E-Waste )  </t>
  </si>
  <si>
    <t xml:space="preserve">ME LAB ROPAR  (Electronic Meter Scrap/E-Waste )  </t>
  </si>
  <si>
    <t>HR-1</t>
  </si>
  <si>
    <t>HR-1, PP-1, SHIVALIK-4</t>
  </si>
  <si>
    <t>WNP-4  (unstandard tf's)</t>
  </si>
  <si>
    <t>JB-4, PAN-1, PTEL-3, SICL-1, MCPL-2, SARAF-1, NUCON-1, DURABLE-1, SHIV SHAKTI-1, SHIVALIK-5</t>
  </si>
  <si>
    <t>DTPL-1</t>
  </si>
  <si>
    <t>PP-2, ARD-1,PTEL-1,SARAF-1</t>
  </si>
  <si>
    <t>WNP-19 (unstandard tf's)</t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</si>
  <si>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</si>
  <si>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63 KVA (CORE &amp; TANK)</t>
  </si>
  <si>
    <t>SARAF-2, MRN-2, PP-2, JR-1, PTEL-1, NPC-1,SIC-1</t>
  </si>
  <si>
    <t>Tubular Poles scrap</t>
  </si>
  <si>
    <t xml:space="preserve">ME LAB BATHINDA  (Electronic Meter Scrap/E-Waste )  </t>
  </si>
  <si>
    <t xml:space="preserve">ME LAB MOGA (Electronic Meter Scrap/E-Waste )  </t>
  </si>
  <si>
    <t>Lot No. I-19</t>
  </si>
  <si>
    <t>Lot No. I-20</t>
  </si>
  <si>
    <t>Lot No. I-21</t>
  </si>
  <si>
    <t>Lot No. I-22</t>
  </si>
  <si>
    <t>Lot no. Q-29</t>
  </si>
  <si>
    <t>CS Ferozepur (.015 MT Intermingle)</t>
  </si>
  <si>
    <t>Lot No A-18</t>
  </si>
  <si>
    <t>Lot no. G - 12</t>
  </si>
  <si>
    <t>OL Shri Mukatsar Sahib</t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</si>
  <si>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</si>
  <si>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</si>
  <si>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</si>
  <si>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</si>
  <si>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</si>
  <si>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</si>
  <si>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</si>
  <si>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</si>
  <si>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</si>
  <si>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</si>
  <si>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</si>
  <si>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</si>
  <si>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PTEL 1, NUCON 3, NPC 3, SKYWAY 1, JR 2, SHRIKRISNA 1, SHIVA WELD 2, PP 2, TA 2</t>
  </si>
  <si>
    <t>SICL 2, JR 3, MAHASHKTI 1, AGARWAL 1, UTTAM 1</t>
  </si>
  <si>
    <t>JB 3, SICL 8, ARDISON 1, PTEL 1, ECO 2</t>
  </si>
  <si>
    <t>JR 1, JB 1</t>
  </si>
  <si>
    <t>SAPA 1, SHIVSHKTI 1</t>
  </si>
  <si>
    <t>JB 2, NPC 2</t>
  </si>
  <si>
    <t>UTTAM 1, SHIVSHKTI 1</t>
  </si>
  <si>
    <t>63 KVA (amorphous core)</t>
  </si>
  <si>
    <t>NUCON 2, NPC 1,</t>
  </si>
  <si>
    <t>JB 1</t>
  </si>
  <si>
    <t>NUCON 1, SICL 2, MANU 2</t>
  </si>
  <si>
    <t>Lot no. G - 13</t>
  </si>
  <si>
    <t>PP 1, JR 1, NUCON 1(unstandard tf's)</t>
  </si>
  <si>
    <t>PP 1, SHIVSHKTI 1, KISAN 1 (unstandard tf's)</t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</si>
  <si>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</si>
  <si>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Lot no. E - 19</t>
  </si>
  <si>
    <t>G.I. Wire/GSL scrap</t>
  </si>
  <si>
    <t>Lot No B-11</t>
  </si>
  <si>
    <t>KKK/2023/170</t>
  </si>
  <si>
    <t xml:space="preserve">DTPL = 8, MRN = 3, TA = 1, PTEL = 2, SKY WAY = 1, SHK = 1, HRP = 1, NPC = 1, PP = 2                                                                    </t>
  </si>
  <si>
    <t>KKK/2023/175</t>
  </si>
  <si>
    <t xml:space="preserve">UBE = 1, NPC = 3, SKY WAY = 1, DTPL = 1                                  </t>
  </si>
  <si>
    <t>KKK/2023/176</t>
  </si>
  <si>
    <t xml:space="preserve">PP = 1, PTEL = 1, NSL = 1, SUSHIL = 1, JB = 1, DTPL = 1, JR = 1 </t>
  </si>
  <si>
    <t>KKK/2023/177</t>
  </si>
  <si>
    <t xml:space="preserve">WNP = 01 NO. (unstandard tf's)                                                                                         </t>
  </si>
  <si>
    <t>KKK/2023/179</t>
  </si>
  <si>
    <t xml:space="preserve">PP = 1, MRN = 1, SEF = 1, SHK = 1, HRP = 1, SIC = 1                  </t>
  </si>
  <si>
    <t>KKK/2023/174</t>
  </si>
  <si>
    <t xml:space="preserve">SIC = 2, PTEL = 2, EPS = 4, JB = 2, ARD = 3, SBJ = 1 </t>
  </si>
  <si>
    <t>KKK/2023/173</t>
  </si>
  <si>
    <t xml:space="preserve">TA = 1, ACCURATE = 1                                                                                  </t>
  </si>
  <si>
    <t>KKK/2023/180</t>
  </si>
  <si>
    <t xml:space="preserve">WNP = 5, SEF = 1, ECE = 1, JB = 2, TA = 1                                            </t>
  </si>
  <si>
    <t>KKK/2023/169</t>
  </si>
  <si>
    <t xml:space="preserve">WNP = 09 NO.(unstandard tf's)                                                                       </t>
  </si>
  <si>
    <t>KKK/2023/171</t>
  </si>
  <si>
    <t xml:space="preserve">WNP = 16 NO. (unstandard tf's)                                                                     </t>
  </si>
  <si>
    <t>KKK/2023/172</t>
  </si>
  <si>
    <t xml:space="preserve">16  KVA                     </t>
  </si>
  <si>
    <t xml:space="preserve">WNP = 05 NO.  (unstandard tf's)                                                                     </t>
  </si>
  <si>
    <t>KKK/2023/178</t>
  </si>
  <si>
    <t xml:space="preserve">PTEL = 1, NSL = 1, VIJAI = 1, NPC = 1, SIC = 2 </t>
  </si>
  <si>
    <t xml:space="preserve">10   KVA                  </t>
  </si>
  <si>
    <t>10  KVA</t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</si>
  <si>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</si>
  <si>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</si>
  <si>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</si>
  <si>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</si>
  <si>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</si>
  <si>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</si>
  <si>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</si>
  <si>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</si>
  <si>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</si>
  <si>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CS Bathinda (.134 MT intermingle)</t>
  </si>
  <si>
    <t>Lot no. E - 20</t>
  </si>
  <si>
    <t>Lot no. E - 21</t>
  </si>
  <si>
    <t>Lot no. G - 14</t>
  </si>
  <si>
    <t>M.S Iron scrap</t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</si>
  <si>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</si>
  <si>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NUCON-3,MAHASHAKTI-5,MANUPOWER-1,SICL-1</t>
  </si>
  <si>
    <t>Lot no. E - 22</t>
  </si>
  <si>
    <t>Lot no. E - 23</t>
  </si>
  <si>
    <t>Lot No B-12</t>
  </si>
  <si>
    <t>Lot No B-13</t>
  </si>
  <si>
    <t xml:space="preserve">10  KVA                   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</si>
  <si>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</si>
  <si>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</si>
  <si>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</si>
  <si>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</si>
  <si>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</si>
  <si>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</si>
  <si>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</si>
  <si>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</si>
  <si>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</si>
  <si>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</si>
  <si>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</si>
  <si>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</si>
  <si>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</si>
  <si>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</si>
  <si>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</si>
  <si>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</si>
  <si>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</si>
  <si>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</si>
  <si>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</si>
  <si>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</si>
  <si>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</si>
  <si>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</si>
  <si>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</si>
  <si>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Lot no. G - 15</t>
  </si>
  <si>
    <t>Lot no. Q-30</t>
  </si>
  <si>
    <t>Outlet store Nabha (.023 MT Intermingle)</t>
  </si>
  <si>
    <t>Lot No A-19</t>
  </si>
  <si>
    <t>M.S. Girder Scrap</t>
  </si>
  <si>
    <t>MS Nuts &amp; bolts scrap</t>
  </si>
  <si>
    <t>Cast Iron Scrap</t>
  </si>
  <si>
    <t>Lamination scrap</t>
  </si>
  <si>
    <t>Lot no. E - 24</t>
  </si>
  <si>
    <t>Lot no. G - 16</t>
  </si>
  <si>
    <t>OLNabha</t>
  </si>
  <si>
    <t>Lot no. G - 17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</si>
  <si>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</si>
  <si>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</si>
  <si>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</si>
  <si>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</si>
  <si>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</si>
  <si>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</si>
  <si>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</si>
  <si>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</si>
  <si>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</si>
  <si>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</si>
  <si>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</si>
  <si>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</si>
  <si>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</si>
  <si>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</si>
  <si>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AGGARWAL=2,JB=4,JR=5,MS=2,NV=1,PP=2,PTEL=1,SARAF=1,SICL=3,SK=1,SUSHIL=2,UTTAM=1</t>
  </si>
  <si>
    <t>AGGARWAL=2,ECO=2,JINDAL=1,JM=1,JR=4,,MS=4,NBGL=1,PAN=2,PP=2,PTEL=1,PVJ=1,SICL=1,   UTTAM=3</t>
  </si>
  <si>
    <t>AGGARWAL=3,ECO=2,GTB=2,HITECH=1,JB=1,JR=7,PP=4,PTEL=1,SARAF=1,SICL=1,UTTAM=2</t>
  </si>
  <si>
    <t>AGGARWAL=1,ARD=1,DURABLE=1,ECO=1,HITECH=1,JB=4,JM=2, JR=5,MS=2,MUSKAN=1,NUCON=1,PP=1,PTEL=1,SARAF=1,SICK=1,UTTAM=1</t>
  </si>
  <si>
    <t>BGL=1,ECO=1,JB=2,JM=4,JR=7,MS=4,PP=1,SARAF=1,SUSHIL=2,UTTAM=2</t>
  </si>
  <si>
    <t>AGGARWAL=1,JM=5,JR=1,MS=1,PP=3,SICL=1,SUSHIL=1</t>
  </si>
  <si>
    <t>25 KVA  (CORE &amp; TANK)</t>
  </si>
  <si>
    <t>AGGARWAL=1,ECO=2,HRP-1, JB=2,JM=6,JM=6,JR=5,MUSKAN=1,NICON=1,PP=2,SICL=2,SUSHIL=1,UTTAM=1</t>
  </si>
  <si>
    <t>LIBERTY  T/FS BATHINDA-15</t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</si>
  <si>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</si>
  <si>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</si>
  <si>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S &amp; T Store Bathinda (1.367 MT intermingle )</t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</si>
  <si>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</si>
  <si>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</si>
  <si>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</si>
  <si>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</si>
  <si>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</si>
  <si>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</si>
  <si>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</si>
  <si>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</si>
  <si>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</si>
  <si>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</si>
  <si>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</si>
  <si>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</si>
  <si>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</si>
  <si>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</si>
  <si>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</si>
  <si>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</si>
  <si>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</si>
  <si>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</si>
  <si>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</si>
  <si>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</si>
  <si>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</si>
  <si>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</si>
  <si>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</si>
  <si>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</si>
  <si>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</si>
  <si>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</si>
  <si>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</si>
  <si>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</si>
  <si>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</si>
  <si>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</si>
  <si>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</si>
  <si>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</si>
  <si>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</si>
  <si>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</si>
  <si>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</si>
  <si>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</si>
  <si>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</si>
  <si>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t>Lot No A-20</t>
  </si>
  <si>
    <t>Lot No A-21</t>
  </si>
  <si>
    <t>Lot No B-15</t>
  </si>
  <si>
    <t>Lot No B-16</t>
  </si>
  <si>
    <t>Lot No B-17</t>
  </si>
  <si>
    <t>Lot no. E - 25</t>
  </si>
  <si>
    <t>Lot No B-18</t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</si>
  <si>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</si>
  <si>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</si>
  <si>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</si>
  <si>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</si>
  <si>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t>Lot no. Q-31</t>
  </si>
  <si>
    <t>Lot no. Q-32</t>
  </si>
  <si>
    <t>Lot no. Q-33</t>
  </si>
  <si>
    <t>Outlet store Bhagta Bhai Ka( .068 MT Intermingle)</t>
  </si>
  <si>
    <t>UTTAM-1,WNP-15 (unstandard tf's)</t>
  </si>
  <si>
    <t>SEN-4,JB-2,ECE-1,ELECTRA-3,TA-1</t>
  </si>
  <si>
    <t>NSL-1,SIC-2,SEN-1,ELECTRA-1,PME-1</t>
  </si>
  <si>
    <t>Lot no. Q-34</t>
  </si>
  <si>
    <t>q5 lot and q 34 (out od 4.112…2 mt separate)</t>
  </si>
  <si>
    <t>Lot No B-19</t>
  </si>
  <si>
    <t>Lot No B-20</t>
  </si>
  <si>
    <t>Lot No B-21</t>
  </si>
  <si>
    <t>Lot No B-22</t>
  </si>
  <si>
    <t xml:space="preserve">CS Kotkapura </t>
  </si>
  <si>
    <t>Lot no. Q-9</t>
  </si>
  <si>
    <t>EA-65 /PTA-2023-24</t>
  </si>
  <si>
    <t>23.01.2024</t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</si>
  <si>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</si>
  <si>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</si>
  <si>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</si>
  <si>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t xml:space="preserve">ME LAB PATIALA (Electronic Meter Scrap/E-Waste )  </t>
  </si>
  <si>
    <t>SICL-1</t>
  </si>
  <si>
    <t>HI TECH-1</t>
  </si>
  <si>
    <t>JR-1</t>
  </si>
  <si>
    <t>PP-1 (unstandard tf's)</t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</si>
  <si>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</si>
  <si>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t>PTEL-3,  DTPL-1, NUCON-1, SICL-3, HRP-1, PPI-4, MCPL-1</t>
  </si>
  <si>
    <t>Lot No B-23</t>
  </si>
  <si>
    <t>HITECH-3,JB-18,EPS-6,SONI-1,JINDAL-1,SHIVALIK-1</t>
  </si>
  <si>
    <t>JB-15,EPS-9,HITECH-5,JINDAL-1</t>
  </si>
  <si>
    <t>JB-22,HITECH-2,EPS-5,JINDAL-1</t>
  </si>
  <si>
    <t>JB-17,HITECH-4,EPS-8,JR-1</t>
  </si>
  <si>
    <t>JB-16,MP-2,JINDAL-1,EPS-10,HITECH-1</t>
  </si>
  <si>
    <t>JB-18,ARD-8,SHIVA-3,EPS-1</t>
  </si>
  <si>
    <t>JB-10,ARD-12,DURABLE-1,SHIVA-2,EPS-5</t>
  </si>
  <si>
    <t>SHIVA-5,JB-10,EPS-6,ARD-7,HITECH-1,JINDAL-1</t>
  </si>
  <si>
    <t>EPS-11,JB-10,ARD-6,SHIVA-2,HITECH-1</t>
  </si>
  <si>
    <t>EPS-2,JB-14,ARD-10,SHIVA-4</t>
  </si>
  <si>
    <t>JB-13,ARD-13,EPS-4</t>
  </si>
  <si>
    <t>EPS-10,JB-11,ARD-6,SHIVA-2,JR-1</t>
  </si>
  <si>
    <t>JB-18,EPS-7,HITECH-4,NBGL-1</t>
  </si>
  <si>
    <t>EPS-11,NBGL-1,HITECH-3,JB-14,JINDAL-1</t>
  </si>
  <si>
    <t>EPS-8,JB-17,HITECH-3,JINDAL-1,ARD-1</t>
  </si>
  <si>
    <t>JB-15,EPS-9,HITECH-3,MP-1,SHIVALIK-1,NBGL-1</t>
  </si>
  <si>
    <t>JB-13,JINDAL-1,EPS-3,HITECH-2,SICL-1</t>
  </si>
  <si>
    <t>JB-10,EPS-8,NBGL-1,ARD-9,SHIVA-2</t>
  </si>
  <si>
    <t>JB-17,EPS-5,ARD-6,SHIVA-1,JINDAL-1</t>
  </si>
  <si>
    <t>JB-17,ARD-6,SHIVA-2,EPS-4,NBGL-1</t>
  </si>
  <si>
    <t>EPS-7,JB-17,ARD-4,SHIVA-2</t>
  </si>
  <si>
    <t>SHIVA-6,JB-16,ARD-6,EPS-2</t>
  </si>
  <si>
    <t>JB-15,EPS-7,NBGL-2,ARD-6</t>
  </si>
  <si>
    <t>EPS-9,SHIVA-2,JB-14,ARD-3</t>
  </si>
  <si>
    <r>
      <t xml:space="preserve">Lot No. C 33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</si>
  <si>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34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</si>
  <si>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 xml:space="preserve">NOTE : Before lifting of Transformers (From Lot no. C-1 to C-34), HT/LT copper winding coils of transformers shall be mutilated by the purchaser. </t>
  </si>
  <si>
    <t>CS PATIALA  (U/S AC SPLIT)</t>
  </si>
  <si>
    <t>Lot No. I-23</t>
  </si>
  <si>
    <t>U/S Typewriters</t>
  </si>
  <si>
    <t>Lot No. I-9</t>
  </si>
  <si>
    <t>Lot no. E - 26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</si>
</sst>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</numFmts>
  <fonts count="8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0"/>
      <color rgb="FF00B050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6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 vertical="top"/>
    </xf>
    <xf numFmtId="1" fontId="77" fillId="0" borderId="0" xfId="0" applyNumberFormat="1" applyFont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8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84" fontId="73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3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3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3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3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/>
    </xf>
    <xf numFmtId="184" fontId="78" fillId="0" borderId="21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4" fillId="0" borderId="16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1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3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2" fillId="0" borderId="0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top" wrapText="1"/>
    </xf>
    <xf numFmtId="184" fontId="73" fillId="0" borderId="23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3" fillId="0" borderId="13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75" fillId="0" borderId="13" xfId="0" applyFont="1" applyBorder="1" applyAlignment="1">
      <alignment/>
    </xf>
    <xf numFmtId="184" fontId="69" fillId="0" borderId="0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top" wrapText="1"/>
    </xf>
    <xf numFmtId="184" fontId="73" fillId="0" borderId="0" xfId="0" applyNumberFormat="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3" fillId="0" borderId="25" xfId="0" applyNumberFormat="1" applyFont="1" applyFill="1" applyBorder="1" applyAlignment="1">
      <alignment horizontal="center" vertical="top" wrapText="1"/>
    </xf>
    <xf numFmtId="0" fontId="69" fillId="0" borderId="15" xfId="0" applyFont="1" applyFill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top" wrapText="1"/>
    </xf>
    <xf numFmtId="184" fontId="2" fillId="0" borderId="15" xfId="0" applyNumberFormat="1" applyFont="1" applyFill="1" applyBorder="1" applyAlignment="1">
      <alignment horizontal="center"/>
    </xf>
    <xf numFmtId="2" fontId="78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center" vertical="top" wrapText="1"/>
    </xf>
    <xf numFmtId="0" fontId="78" fillId="0" borderId="13" xfId="0" applyFont="1" applyBorder="1" applyAlignment="1">
      <alignment horizontal="center"/>
    </xf>
    <xf numFmtId="184" fontId="78" fillId="0" borderId="15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3" fillId="0" borderId="0" xfId="0" applyNumberFormat="1" applyFont="1" applyFill="1" applyBorder="1" applyAlignment="1">
      <alignment horizontal="center" vertical="center" wrapText="1"/>
    </xf>
    <xf numFmtId="184" fontId="73" fillId="0" borderId="26" xfId="0" applyNumberFormat="1" applyFont="1" applyFill="1" applyBorder="1" applyAlignment="1">
      <alignment horizontal="center" vertical="center" wrapText="1"/>
    </xf>
    <xf numFmtId="184" fontId="76" fillId="0" borderId="12" xfId="0" applyNumberFormat="1" applyFont="1" applyFill="1" applyBorder="1" applyAlignment="1">
      <alignment horizontal="center" vertical="center" wrapText="1"/>
    </xf>
    <xf numFmtId="1" fontId="78" fillId="0" borderId="16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84" fontId="73" fillId="0" borderId="16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78" fillId="0" borderId="11" xfId="0" applyNumberFormat="1" applyFont="1" applyFill="1" applyBorder="1" applyAlignment="1">
      <alignment horizontal="center"/>
    </xf>
    <xf numFmtId="184" fontId="73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78" fillId="0" borderId="16" xfId="0" applyNumberFormat="1" applyFont="1" applyFill="1" applyBorder="1" applyAlignment="1">
      <alignment horizontal="center"/>
    </xf>
    <xf numFmtId="184" fontId="73" fillId="0" borderId="12" xfId="0" applyNumberFormat="1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184" fontId="78" fillId="0" borderId="16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7" fontId="9" fillId="32" borderId="13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184" fontId="9" fillId="0" borderId="2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84" fontId="9" fillId="0" borderId="11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8" fillId="0" borderId="13" xfId="57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top" wrapText="1"/>
    </xf>
    <xf numFmtId="0" fontId="73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3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3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184" fontId="78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top" wrapText="1"/>
    </xf>
    <xf numFmtId="0" fontId="81" fillId="32" borderId="13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/>
    </xf>
    <xf numFmtId="2" fontId="78" fillId="0" borderId="13" xfId="0" applyNumberFormat="1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84" fontId="9" fillId="0" borderId="16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justify" vertical="top" wrapText="1"/>
    </xf>
    <xf numFmtId="0" fontId="74" fillId="0" borderId="16" xfId="0" applyFont="1" applyFill="1" applyBorder="1" applyAlignment="1">
      <alignment horizontal="justify" vertical="top" wrapText="1"/>
    </xf>
    <xf numFmtId="0" fontId="72" fillId="0" borderId="15" xfId="0" applyFont="1" applyFill="1" applyBorder="1" applyAlignment="1">
      <alignment horizontal="left" wrapText="1"/>
    </xf>
    <xf numFmtId="0" fontId="72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4" fillId="0" borderId="15" xfId="0" applyFont="1" applyFill="1" applyBorder="1" applyAlignment="1">
      <alignment horizontal="left" vertical="center"/>
    </xf>
    <xf numFmtId="0" fontId="74" fillId="0" borderId="16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72" fillId="0" borderId="15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left" vertical="top" wrapText="1"/>
    </xf>
    <xf numFmtId="0" fontId="73" fillId="0" borderId="28" xfId="0" applyFont="1" applyFill="1" applyBorder="1" applyAlignment="1">
      <alignment horizontal="center" vertical="top" wrapText="1"/>
    </xf>
    <xf numFmtId="0" fontId="73" fillId="0" borderId="29" xfId="0" applyFont="1" applyFill="1" applyBorder="1" applyAlignment="1">
      <alignment horizontal="center" vertical="top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3" fillId="0" borderId="30" xfId="0" applyFont="1" applyFill="1" applyBorder="1" applyAlignment="1">
      <alignment horizontal="center" vertical="top" wrapText="1"/>
    </xf>
    <xf numFmtId="0" fontId="73" fillId="0" borderId="31" xfId="0" applyFont="1" applyFill="1" applyBorder="1" applyAlignment="1">
      <alignment horizontal="center" vertical="top" wrapText="1"/>
    </xf>
    <xf numFmtId="0" fontId="72" fillId="0" borderId="17" xfId="0" applyFont="1" applyFill="1" applyBorder="1" applyAlignment="1">
      <alignment horizontal="left" vertical="top" wrapText="1"/>
    </xf>
    <xf numFmtId="0" fontId="72" fillId="0" borderId="18" xfId="0" applyFont="1" applyFill="1" applyBorder="1" applyAlignment="1">
      <alignment horizontal="left" vertical="top" wrapText="1"/>
    </xf>
    <xf numFmtId="0" fontId="72" fillId="0" borderId="16" xfId="0" applyFont="1" applyFill="1" applyBorder="1" applyAlignment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83" fillId="0" borderId="19" xfId="0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justify" vertical="top" wrapText="1"/>
    </xf>
    <xf numFmtId="0" fontId="74" fillId="0" borderId="21" xfId="0" applyFont="1" applyFill="1" applyBorder="1" applyAlignment="1">
      <alignment horizontal="justify" vertical="top" wrapText="1"/>
    </xf>
    <xf numFmtId="0" fontId="72" fillId="0" borderId="32" xfId="0" applyFont="1" applyFill="1" applyBorder="1" applyAlignment="1">
      <alignment horizontal="center" vertical="top" wrapText="1"/>
    </xf>
    <xf numFmtId="0" fontId="72" fillId="0" borderId="33" xfId="0" applyFont="1" applyFill="1" applyBorder="1" applyAlignment="1">
      <alignment horizontal="center" vertical="top" wrapText="1"/>
    </xf>
    <xf numFmtId="0" fontId="72" fillId="0" borderId="15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86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3"/>
  <sheetViews>
    <sheetView tabSelected="1" view="pageBreakPreview" zoomScaleNormal="70" zoomScaleSheetLayoutView="100" zoomScalePageLayoutView="70" workbookViewId="0" topLeftCell="A1">
      <selection activeCell="H578" sqref="H578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29.28125" style="2" customWidth="1"/>
    <col min="6" max="6" width="10.00390625" style="1" hidden="1" customWidth="1"/>
    <col min="7" max="7" width="37.00390625" style="1" hidden="1" customWidth="1"/>
    <col min="8" max="8" width="159.57421875" style="9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21" t="s">
        <v>72</v>
      </c>
      <c r="B1" s="322"/>
      <c r="C1" s="322"/>
      <c r="D1" s="322"/>
      <c r="E1" s="322"/>
    </row>
    <row r="2" spans="1:4" ht="19.5" customHeight="1">
      <c r="A2" s="323" t="s">
        <v>9</v>
      </c>
      <c r="B2" s="324"/>
      <c r="C2" s="324"/>
      <c r="D2" s="4" t="s">
        <v>668</v>
      </c>
    </row>
    <row r="3" spans="1:4" ht="16.5" customHeight="1">
      <c r="A3" s="323" t="s">
        <v>10</v>
      </c>
      <c r="B3" s="324"/>
      <c r="C3" s="324"/>
      <c r="D3" s="4" t="s">
        <v>669</v>
      </c>
    </row>
    <row r="4" spans="1:5" ht="31.5" customHeight="1">
      <c r="A4" s="299" t="s">
        <v>233</v>
      </c>
      <c r="B4" s="300"/>
      <c r="C4" s="300"/>
      <c r="D4" s="300"/>
      <c r="E4" s="300"/>
    </row>
    <row r="5" spans="1:6" ht="19.5" customHeight="1">
      <c r="A5" s="325" t="s">
        <v>0</v>
      </c>
      <c r="B5" s="326"/>
      <c r="C5" s="326"/>
      <c r="D5" s="326"/>
      <c r="E5" s="65" t="s">
        <v>7</v>
      </c>
      <c r="F5" s="121"/>
    </row>
    <row r="6" spans="1:8" ht="17.25" customHeight="1">
      <c r="A6" s="269" t="s">
        <v>74</v>
      </c>
      <c r="B6" s="270"/>
      <c r="C6" s="267" t="s">
        <v>145</v>
      </c>
      <c r="D6" s="267"/>
      <c r="E6" s="46">
        <v>4.044</v>
      </c>
      <c r="H6" s="93" t="str">
        <f>CONCATENATE("Aluminium Conductor Steel Reinforced scrap, Lying at ",C6,". Quantity in MT - ",E6,)</f>
        <v>Aluminium Conductor Steel Reinforced scrap, Lying at Outlet store Shri Muktsar sahib. Quantity in MT - 4.044</v>
      </c>
    </row>
    <row r="7" spans="1:8" ht="17.25" customHeight="1">
      <c r="A7" s="269" t="s">
        <v>114</v>
      </c>
      <c r="B7" s="270"/>
      <c r="C7" s="267" t="s">
        <v>201</v>
      </c>
      <c r="D7" s="267"/>
      <c r="E7" s="46">
        <v>4.993</v>
      </c>
      <c r="H7" s="93" t="str">
        <f aca="true" t="shared" si="0" ref="H7:H26">CONCATENATE("Aluminium Conductor Steel Reinforced scrap, Lying at ",C7,". Quantity in MT - ",E7,)</f>
        <v>Aluminium Conductor Steel Reinforced scrap, Lying at CS Kotkapura  (.237 MT Intermingle). Quantity in MT - 4.993</v>
      </c>
    </row>
    <row r="8" spans="1:8" ht="17.25" customHeight="1">
      <c r="A8" s="269" t="s">
        <v>161</v>
      </c>
      <c r="B8" s="270"/>
      <c r="C8" s="267" t="s">
        <v>666</v>
      </c>
      <c r="D8" s="267"/>
      <c r="E8" s="46">
        <v>8</v>
      </c>
      <c r="H8" s="93" t="str">
        <f t="shared" si="0"/>
        <v>Aluminium Conductor Steel Reinforced scrap, Lying at CS Kotkapura . Quantity in MT - 8</v>
      </c>
    </row>
    <row r="9" spans="1:8" ht="17.25" customHeight="1">
      <c r="A9" s="269" t="s">
        <v>178</v>
      </c>
      <c r="B9" s="270"/>
      <c r="C9" s="267" t="s">
        <v>179</v>
      </c>
      <c r="D9" s="267"/>
      <c r="E9" s="46">
        <v>6.904</v>
      </c>
      <c r="G9" s="121"/>
      <c r="H9" s="93" t="str">
        <f t="shared" si="0"/>
        <v>Aluminium Conductor Steel Reinforced scrap, Lying at Outlet store Malerkotla. Quantity in MT - 6.904</v>
      </c>
    </row>
    <row r="10" spans="1:8" ht="17.25" customHeight="1">
      <c r="A10" s="269" t="s">
        <v>162</v>
      </c>
      <c r="B10" s="270"/>
      <c r="C10" s="267" t="s">
        <v>569</v>
      </c>
      <c r="D10" s="267"/>
      <c r="E10" s="46">
        <v>6.473</v>
      </c>
      <c r="G10" s="99"/>
      <c r="H10" s="93" t="str">
        <f t="shared" si="0"/>
        <v>Aluminium Conductor Steel Reinforced scrap, Lying at Outlet store Nabha (.023 MT Intermingle). Quantity in MT - 6.473</v>
      </c>
    </row>
    <row r="11" spans="1:8" ht="17.25" customHeight="1">
      <c r="A11" s="269" t="s">
        <v>180</v>
      </c>
      <c r="B11" s="270"/>
      <c r="C11" s="267" t="s">
        <v>186</v>
      </c>
      <c r="D11" s="267"/>
      <c r="E11" s="46">
        <v>13.855</v>
      </c>
      <c r="H11" s="93" t="str">
        <f t="shared" si="0"/>
        <v>Aluminium Conductor Steel Reinforced scrap, Lying at Outlet store Mansa. Quantity in MT - 13.855</v>
      </c>
    </row>
    <row r="12" spans="1:8" ht="17.25" customHeight="1">
      <c r="A12" s="269" t="s">
        <v>163</v>
      </c>
      <c r="B12" s="270"/>
      <c r="C12" s="267" t="s">
        <v>289</v>
      </c>
      <c r="D12" s="267"/>
      <c r="E12" s="46">
        <v>9.847</v>
      </c>
      <c r="H12" s="93" t="str">
        <f t="shared" si="0"/>
        <v>Aluminium Conductor Steel Reinforced scrap, Lying at CS Mohali (.314 MT intermingle). Quantity in MT - 9.847</v>
      </c>
    </row>
    <row r="13" spans="1:8" ht="17.25" customHeight="1">
      <c r="A13" s="269" t="s">
        <v>202</v>
      </c>
      <c r="B13" s="270"/>
      <c r="C13" s="267" t="s">
        <v>185</v>
      </c>
      <c r="D13" s="267"/>
      <c r="E13" s="46">
        <v>6.437</v>
      </c>
      <c r="H13" s="93" t="str">
        <f t="shared" si="0"/>
        <v>Aluminium Conductor Steel Reinforced scrap, Lying at Outlet store Ropar. Quantity in MT - 6.437</v>
      </c>
    </row>
    <row r="14" spans="1:8" ht="17.25" customHeight="1">
      <c r="A14" s="269" t="s">
        <v>183</v>
      </c>
      <c r="B14" s="270"/>
      <c r="C14" s="267" t="s">
        <v>263</v>
      </c>
      <c r="D14" s="267"/>
      <c r="E14" s="46">
        <v>1.876</v>
      </c>
      <c r="H14" s="93" t="str">
        <f t="shared" si="0"/>
        <v>Aluminium Conductor Steel Reinforced scrap, Lying at Outlet store Fazilka. Quantity in MT - 1.876</v>
      </c>
    </row>
    <row r="15" spans="1:8" ht="17.25" customHeight="1">
      <c r="A15" s="269" t="s">
        <v>184</v>
      </c>
      <c r="B15" s="270"/>
      <c r="C15" s="267" t="s">
        <v>532</v>
      </c>
      <c r="D15" s="267"/>
      <c r="E15" s="46">
        <v>5.991</v>
      </c>
      <c r="G15" s="121"/>
      <c r="H15" s="93" t="str">
        <f t="shared" si="0"/>
        <v>Aluminium Conductor Steel Reinforced scrap, Lying at CS Bathinda (.134 MT intermingle). Quantity in MT - 5.991</v>
      </c>
    </row>
    <row r="16" spans="1:8" ht="17.25" customHeight="1">
      <c r="A16" s="269" t="s">
        <v>204</v>
      </c>
      <c r="B16" s="270"/>
      <c r="C16" s="288" t="s">
        <v>656</v>
      </c>
      <c r="D16" s="288"/>
      <c r="E16" s="186">
        <v>3.436</v>
      </c>
      <c r="H16" s="93" t="str">
        <f t="shared" si="0"/>
        <v>Aluminium Conductor Steel Reinforced scrap, Lying at Outlet store Bhagta Bhai Ka( .068 MT Intermingle). Quantity in MT - 3.436</v>
      </c>
    </row>
    <row r="17" spans="1:8" ht="17.25" customHeight="1">
      <c r="A17" s="269" t="s">
        <v>268</v>
      </c>
      <c r="B17" s="270"/>
      <c r="C17" s="267" t="s">
        <v>79</v>
      </c>
      <c r="D17" s="267"/>
      <c r="E17" s="46">
        <v>6.326</v>
      </c>
      <c r="H17" s="93" t="str">
        <f t="shared" si="0"/>
        <v>Aluminium Conductor Steel Reinforced scrap, Lying at CS Sangrur. Quantity in MT - 6.326</v>
      </c>
    </row>
    <row r="18" spans="1:8" ht="17.25" customHeight="1">
      <c r="A18" s="269" t="s">
        <v>318</v>
      </c>
      <c r="B18" s="270"/>
      <c r="C18" s="267" t="s">
        <v>181</v>
      </c>
      <c r="D18" s="267"/>
      <c r="E18" s="46">
        <v>3.726</v>
      </c>
      <c r="H18" s="93" t="str">
        <f t="shared" si="0"/>
        <v>Aluminium Conductor Steel Reinforced scrap, Lying at Outlet store Patran. Quantity in MT - 3.726</v>
      </c>
    </row>
    <row r="19" spans="1:8" ht="17.25" customHeight="1">
      <c r="A19" s="269" t="s">
        <v>319</v>
      </c>
      <c r="B19" s="270"/>
      <c r="C19" s="267" t="s">
        <v>182</v>
      </c>
      <c r="D19" s="267"/>
      <c r="E19" s="46">
        <v>5.076</v>
      </c>
      <c r="H19" s="93" t="str">
        <f t="shared" si="0"/>
        <v>Aluminium Conductor Steel Reinforced scrap, Lying at Outlet store Barnala. Quantity in MT - 5.076</v>
      </c>
    </row>
    <row r="20" spans="1:8" ht="17.25" customHeight="1">
      <c r="A20" s="269" t="s">
        <v>322</v>
      </c>
      <c r="B20" s="270"/>
      <c r="C20" s="269" t="s">
        <v>604</v>
      </c>
      <c r="D20" s="276"/>
      <c r="E20" s="46">
        <v>31.367</v>
      </c>
      <c r="H20" s="93" t="str">
        <f t="shared" si="0"/>
        <v>Aluminium Conductor Steel Reinforced scrap, Lying at S &amp; T Store Bathinda (1.367 MT intermingle ). Quantity in MT - 31.367</v>
      </c>
    </row>
    <row r="21" spans="1:8" ht="17.25" customHeight="1">
      <c r="A21" s="269" t="s">
        <v>323</v>
      </c>
      <c r="B21" s="270"/>
      <c r="C21" s="269" t="s">
        <v>57</v>
      </c>
      <c r="D21" s="276"/>
      <c r="E21" s="46">
        <v>10</v>
      </c>
      <c r="H21" s="93" t="str">
        <f t="shared" si="0"/>
        <v>Aluminium Conductor Steel Reinforced scrap, Lying at S &amp; T Store Bathinda. Quantity in MT - 10</v>
      </c>
    </row>
    <row r="22" spans="1:8" ht="17.25" customHeight="1">
      <c r="A22" s="269" t="s">
        <v>324</v>
      </c>
      <c r="B22" s="270"/>
      <c r="C22" s="269" t="s">
        <v>57</v>
      </c>
      <c r="D22" s="276"/>
      <c r="E22" s="46">
        <v>10</v>
      </c>
      <c r="H22" s="93" t="str">
        <f t="shared" si="0"/>
        <v>Aluminium Conductor Steel Reinforced scrap, Lying at S &amp; T Store Bathinda. Quantity in MT - 10</v>
      </c>
    </row>
    <row r="23" spans="1:8" ht="17.25" customHeight="1">
      <c r="A23" s="269" t="s">
        <v>463</v>
      </c>
      <c r="B23" s="270"/>
      <c r="C23" s="267" t="s">
        <v>95</v>
      </c>
      <c r="D23" s="269"/>
      <c r="E23" s="46">
        <v>7.153</v>
      </c>
      <c r="H23" s="93" t="str">
        <f t="shared" si="0"/>
        <v>Aluminium Conductor Steel Reinforced scrap, Lying at CS Malout. Quantity in MT - 7.153</v>
      </c>
    </row>
    <row r="24" spans="1:8" ht="17.25" customHeight="1">
      <c r="A24" s="269" t="s">
        <v>570</v>
      </c>
      <c r="B24" s="270"/>
      <c r="C24" s="288" t="s">
        <v>267</v>
      </c>
      <c r="D24" s="288"/>
      <c r="E24" s="186">
        <v>5.611</v>
      </c>
      <c r="F24" s="121"/>
      <c r="H24" s="93" t="str">
        <f t="shared" si="0"/>
        <v>Aluminium Conductor Steel Reinforced scrap, Lying at Outlet store Moga. Quantity in MT - 5.611</v>
      </c>
    </row>
    <row r="25" spans="1:8" ht="17.25" customHeight="1">
      <c r="A25" s="269" t="s">
        <v>642</v>
      </c>
      <c r="B25" s="270"/>
      <c r="C25" s="267" t="s">
        <v>462</v>
      </c>
      <c r="D25" s="267"/>
      <c r="E25" s="46">
        <v>1.966</v>
      </c>
      <c r="F25" s="121"/>
      <c r="H25" s="93" t="str">
        <f t="shared" si="0"/>
        <v>Aluminium Conductor Steel Reinforced scrap, Lying at CS Ferozepur (.015 MT Intermingle). Quantity in MT - 1.966</v>
      </c>
    </row>
    <row r="26" spans="1:8" ht="17.25" customHeight="1" thickBot="1">
      <c r="A26" s="269" t="s">
        <v>643</v>
      </c>
      <c r="B26" s="270"/>
      <c r="C26" s="267" t="s">
        <v>231</v>
      </c>
      <c r="D26" s="267"/>
      <c r="E26" s="186">
        <v>0.68</v>
      </c>
      <c r="F26" s="121"/>
      <c r="H26" s="93" t="str">
        <f t="shared" si="0"/>
        <v>Aluminium Conductor Steel Reinforced scrap, Lying at Outlet store Rajpura. Quantity in MT - 0.68</v>
      </c>
    </row>
    <row r="27" spans="1:5" ht="17.25" customHeight="1" thickBot="1">
      <c r="A27" s="334" t="s">
        <v>113</v>
      </c>
      <c r="B27" s="335"/>
      <c r="C27" s="341"/>
      <c r="D27" s="341"/>
      <c r="E27" s="154">
        <f>SUM(E6:E26)</f>
        <v>153.761</v>
      </c>
    </row>
    <row r="28" spans="1:5" ht="17.25" customHeight="1">
      <c r="A28" s="144"/>
      <c r="B28" s="144"/>
      <c r="C28" s="142"/>
      <c r="D28" s="142"/>
      <c r="E28" s="145"/>
    </row>
    <row r="29" spans="1:5" ht="17.25" customHeight="1">
      <c r="A29" s="336" t="s">
        <v>379</v>
      </c>
      <c r="B29" s="337"/>
      <c r="C29" s="337"/>
      <c r="D29" s="337"/>
      <c r="E29" s="65" t="s">
        <v>7</v>
      </c>
    </row>
    <row r="30" spans="1:8" ht="17.25" customHeight="1">
      <c r="A30" s="267" t="s">
        <v>380</v>
      </c>
      <c r="B30" s="267"/>
      <c r="C30" s="267" t="s">
        <v>267</v>
      </c>
      <c r="D30" s="267"/>
      <c r="E30" s="73">
        <v>0.431</v>
      </c>
      <c r="H30" s="93" t="str">
        <f>CONCATENATE("LT ABC Cable scrap without insulation, Lying at ",C30,". Quantity in MT - ",E30,)</f>
        <v>LT ABC Cable scrap without insulation, Lying at Outlet store Moga. Quantity in MT - 0.431</v>
      </c>
    </row>
    <row r="31" spans="1:8" ht="17.25" customHeight="1" thickBot="1">
      <c r="A31" s="279" t="s">
        <v>431</v>
      </c>
      <c r="B31" s="280"/>
      <c r="C31" s="269" t="s">
        <v>231</v>
      </c>
      <c r="D31" s="270"/>
      <c r="E31" s="244">
        <v>1.088</v>
      </c>
      <c r="H31" s="93" t="str">
        <f>CONCATENATE("LT ABC Cable scrap without insulation, Lying at ",C31,". Quantity in MT - ",E31,)</f>
        <v>LT ABC Cable scrap without insulation, Lying at Outlet store Rajpura. Quantity in MT - 1.088</v>
      </c>
    </row>
    <row r="32" spans="1:5" ht="17.25" customHeight="1" thickBot="1">
      <c r="A32" s="327" t="s">
        <v>113</v>
      </c>
      <c r="B32" s="328"/>
      <c r="C32" s="338"/>
      <c r="D32" s="338"/>
      <c r="E32" s="154">
        <f>E30+E31</f>
        <v>1.5190000000000001</v>
      </c>
    </row>
    <row r="33" spans="1:5" ht="17.25" customHeight="1">
      <c r="A33" s="122"/>
      <c r="B33" s="122"/>
      <c r="C33" s="123"/>
      <c r="D33" s="339"/>
      <c r="E33" s="340"/>
    </row>
    <row r="34" spans="1:5" ht="17.25" customHeight="1">
      <c r="A34" s="325" t="s">
        <v>12</v>
      </c>
      <c r="B34" s="326"/>
      <c r="C34" s="326"/>
      <c r="D34" s="326"/>
      <c r="E34" s="65" t="s">
        <v>7</v>
      </c>
    </row>
    <row r="35" spans="1:8" ht="17.25" customHeight="1">
      <c r="A35" s="269" t="s">
        <v>73</v>
      </c>
      <c r="B35" s="270"/>
      <c r="C35" s="267" t="s">
        <v>28</v>
      </c>
      <c r="D35" s="267"/>
      <c r="E35" s="73">
        <v>8.316</v>
      </c>
      <c r="H35" s="93" t="str">
        <f aca="true" t="shared" si="1" ref="H35:H57">CONCATENATE("Damaged Distribution Transformer's HT/LT Aluminium coils scrap with insulation, Lying at ",C35,". Quantity in MT - ",E35,)</f>
        <v>Damaged Distribution Transformer's HT/LT Aluminium coils scrap with insulation, Lying at TRY Malerkotla. Quantity in MT - 8.316</v>
      </c>
    </row>
    <row r="36" spans="1:8" ht="17.25" customHeight="1">
      <c r="A36" s="269" t="s">
        <v>122</v>
      </c>
      <c r="B36" s="270"/>
      <c r="C36" s="267" t="s">
        <v>136</v>
      </c>
      <c r="D36" s="267"/>
      <c r="E36" s="73">
        <v>4.066</v>
      </c>
      <c r="H36" s="93" t="str">
        <f t="shared" si="1"/>
        <v>Damaged Distribution Transformer's HT/LT Aluminium coils scrap with insulation, Lying at TRY Patran. Quantity in MT - 4.066</v>
      </c>
    </row>
    <row r="37" spans="1:8" ht="17.25" customHeight="1">
      <c r="A37" s="269" t="s">
        <v>123</v>
      </c>
      <c r="B37" s="270"/>
      <c r="C37" s="267" t="s">
        <v>136</v>
      </c>
      <c r="D37" s="267"/>
      <c r="E37" s="73">
        <v>10</v>
      </c>
      <c r="H37" s="93" t="str">
        <f t="shared" si="1"/>
        <v>Damaged Distribution Transformer's HT/LT Aluminium coils scrap with insulation, Lying at TRY Patran. Quantity in MT - 10</v>
      </c>
    </row>
    <row r="38" spans="1:8" ht="17.25" customHeight="1">
      <c r="A38" s="269" t="s">
        <v>205</v>
      </c>
      <c r="B38" s="270"/>
      <c r="C38" s="267" t="s">
        <v>248</v>
      </c>
      <c r="D38" s="267"/>
      <c r="E38" s="73">
        <v>12.08</v>
      </c>
      <c r="H38" s="93" t="str">
        <f t="shared" si="1"/>
        <v>Damaged Distribution Transformer's HT/LT Aluminium coils scrap with insulation, Lying at TRY Kotkapura. Quantity in MT - 12.08</v>
      </c>
    </row>
    <row r="39" spans="1:8" ht="17.25" customHeight="1">
      <c r="A39" s="269" t="s">
        <v>158</v>
      </c>
      <c r="B39" s="270"/>
      <c r="C39" s="267" t="s">
        <v>248</v>
      </c>
      <c r="D39" s="267"/>
      <c r="E39" s="73">
        <v>10</v>
      </c>
      <c r="H39" s="93" t="str">
        <f t="shared" si="1"/>
        <v>Damaged Distribution Transformer's HT/LT Aluminium coils scrap with insulation, Lying at TRY Kotkapura. Quantity in MT - 10</v>
      </c>
    </row>
    <row r="40" spans="1:8" ht="17.25" customHeight="1">
      <c r="A40" s="269" t="s">
        <v>187</v>
      </c>
      <c r="B40" s="270"/>
      <c r="C40" s="267" t="s">
        <v>248</v>
      </c>
      <c r="D40" s="267"/>
      <c r="E40" s="73">
        <v>10</v>
      </c>
      <c r="H40" s="93" t="str">
        <f t="shared" si="1"/>
        <v>Damaged Distribution Transformer's HT/LT Aluminium coils scrap with insulation, Lying at TRY Kotkapura. Quantity in MT - 10</v>
      </c>
    </row>
    <row r="41" spans="1:8" ht="17.25" customHeight="1">
      <c r="A41" s="269" t="s">
        <v>249</v>
      </c>
      <c r="B41" s="270"/>
      <c r="C41" s="267" t="s">
        <v>248</v>
      </c>
      <c r="D41" s="267"/>
      <c r="E41" s="73">
        <v>10</v>
      </c>
      <c r="H41" s="93" t="str">
        <f t="shared" si="1"/>
        <v>Damaged Distribution Transformer's HT/LT Aluminium coils scrap with insulation, Lying at TRY Kotkapura. Quantity in MT - 10</v>
      </c>
    </row>
    <row r="42" spans="1:8" ht="17.25" customHeight="1">
      <c r="A42" s="269" t="s">
        <v>165</v>
      </c>
      <c r="B42" s="270"/>
      <c r="C42" s="331" t="s">
        <v>164</v>
      </c>
      <c r="D42" s="331"/>
      <c r="E42" s="162">
        <v>15</v>
      </c>
      <c r="F42" s="121">
        <v>13.906</v>
      </c>
      <c r="H42" s="93" t="str">
        <f t="shared" si="1"/>
        <v>Damaged Distribution Transformer's HT/LT Aluminium coils scrap with insulation, Lying at TRY Malout. Quantity in MT - 15</v>
      </c>
    </row>
    <row r="43" spans="1:8" ht="17.25" customHeight="1">
      <c r="A43" s="269" t="s">
        <v>251</v>
      </c>
      <c r="B43" s="270"/>
      <c r="C43" s="331" t="s">
        <v>164</v>
      </c>
      <c r="D43" s="331"/>
      <c r="E43" s="162">
        <v>14.154</v>
      </c>
      <c r="F43" s="121">
        <v>10</v>
      </c>
      <c r="G43" s="121"/>
      <c r="H43" s="93" t="str">
        <f t="shared" si="1"/>
        <v>Damaged Distribution Transformer's HT/LT Aluminium coils scrap with insulation, Lying at TRY Malout. Quantity in MT - 14.154</v>
      </c>
    </row>
    <row r="44" spans="1:8" ht="17.25" customHeight="1">
      <c r="A44" s="269" t="s">
        <v>264</v>
      </c>
      <c r="B44" s="270"/>
      <c r="C44" s="267" t="s">
        <v>166</v>
      </c>
      <c r="D44" s="267"/>
      <c r="E44" s="73">
        <v>16</v>
      </c>
      <c r="H44" s="93" t="str">
        <f t="shared" si="1"/>
        <v>Damaged Distribution Transformer's HT/LT Aluminium coils scrap with insulation, Lying at TRY Mansa. Quantity in MT - 16</v>
      </c>
    </row>
    <row r="45" spans="1:8" ht="17.25" customHeight="1">
      <c r="A45" s="269" t="s">
        <v>495</v>
      </c>
      <c r="B45" s="270"/>
      <c r="C45" s="331" t="s">
        <v>166</v>
      </c>
      <c r="D45" s="331"/>
      <c r="E45" s="162">
        <v>16.423</v>
      </c>
      <c r="F45" s="121">
        <v>8.64</v>
      </c>
      <c r="G45" s="1">
        <v>7.783000000000001</v>
      </c>
      <c r="H45" s="93" t="str">
        <f t="shared" si="1"/>
        <v>Damaged Distribution Transformer's HT/LT Aluminium coils scrap with insulation, Lying at TRY Mansa. Quantity in MT - 16.423</v>
      </c>
    </row>
    <row r="46" spans="1:8" ht="17.25" customHeight="1">
      <c r="A46" s="269" t="s">
        <v>541</v>
      </c>
      <c r="B46" s="270"/>
      <c r="C46" s="267" t="s">
        <v>166</v>
      </c>
      <c r="D46" s="267"/>
      <c r="E46" s="73">
        <v>10</v>
      </c>
      <c r="H46" s="93" t="str">
        <f t="shared" si="1"/>
        <v>Damaged Distribution Transformer's HT/LT Aluminium coils scrap with insulation, Lying at TRY Mansa. Quantity in MT - 10</v>
      </c>
    </row>
    <row r="47" spans="1:8" ht="17.25" customHeight="1">
      <c r="A47" s="269" t="s">
        <v>542</v>
      </c>
      <c r="B47" s="270"/>
      <c r="C47" s="267" t="s">
        <v>166</v>
      </c>
      <c r="D47" s="267"/>
      <c r="E47" s="73">
        <v>10</v>
      </c>
      <c r="H47" s="93" t="str">
        <f t="shared" si="1"/>
        <v>Damaged Distribution Transformer's HT/LT Aluminium coils scrap with insulation, Lying at TRY Mansa. Quantity in MT - 10</v>
      </c>
    </row>
    <row r="48" spans="1:8" ht="17.25" customHeight="1">
      <c r="A48" s="269" t="s">
        <v>634</v>
      </c>
      <c r="B48" s="270"/>
      <c r="C48" s="267" t="s">
        <v>222</v>
      </c>
      <c r="D48" s="267"/>
      <c r="E48" s="73">
        <v>18.36</v>
      </c>
      <c r="H48" s="93" t="str">
        <f t="shared" si="1"/>
        <v>Damaged Distribution Transformer's HT/LT Aluminium coils scrap with insulation, Lying at TRY Moga. Quantity in MT - 18.36</v>
      </c>
    </row>
    <row r="49" spans="1:8" ht="17.25" customHeight="1">
      <c r="A49" s="269" t="s">
        <v>644</v>
      </c>
      <c r="B49" s="270"/>
      <c r="C49" s="267" t="s">
        <v>222</v>
      </c>
      <c r="D49" s="267"/>
      <c r="E49" s="73">
        <v>10</v>
      </c>
      <c r="H49" s="93" t="str">
        <f t="shared" si="1"/>
        <v>Damaged Distribution Transformer's HT/LT Aluminium coils scrap with insulation, Lying at TRY Moga. Quantity in MT - 10</v>
      </c>
    </row>
    <row r="50" spans="1:8" ht="17.25" customHeight="1">
      <c r="A50" s="269" t="s">
        <v>645</v>
      </c>
      <c r="B50" s="270"/>
      <c r="C50" s="267" t="s">
        <v>143</v>
      </c>
      <c r="D50" s="267"/>
      <c r="E50" s="73">
        <v>3.66</v>
      </c>
      <c r="H50" s="93" t="str">
        <f t="shared" si="1"/>
        <v>Damaged Distribution Transformer's HT/LT Aluminium coils scrap with insulation, Lying at TRY Ropar. Quantity in MT - 3.66</v>
      </c>
    </row>
    <row r="51" spans="1:8" ht="17.25" customHeight="1">
      <c r="A51" s="269" t="s">
        <v>646</v>
      </c>
      <c r="B51" s="270"/>
      <c r="C51" s="267" t="s">
        <v>36</v>
      </c>
      <c r="D51" s="267"/>
      <c r="E51" s="73">
        <v>6.98</v>
      </c>
      <c r="H51" s="93" t="str">
        <f t="shared" si="1"/>
        <v>Damaged Distribution Transformer's HT/LT Aluminium coils scrap with insulation, Lying at TRY Bathinda. Quantity in MT - 6.98</v>
      </c>
    </row>
    <row r="52" spans="1:8" ht="17.25" customHeight="1">
      <c r="A52" s="269" t="s">
        <v>648</v>
      </c>
      <c r="B52" s="270"/>
      <c r="C52" s="267" t="s">
        <v>120</v>
      </c>
      <c r="D52" s="267"/>
      <c r="E52" s="73">
        <v>6.677</v>
      </c>
      <c r="H52" s="93" t="str">
        <f t="shared" si="1"/>
        <v>Damaged Distribution Transformer's HT/LT Aluminium coils scrap with insulation, Lying at TRY Patiala. Quantity in MT - 6.677</v>
      </c>
    </row>
    <row r="53" spans="1:8" ht="17.25" customHeight="1">
      <c r="A53" s="269" t="s">
        <v>662</v>
      </c>
      <c r="B53" s="270"/>
      <c r="C53" s="284" t="s">
        <v>135</v>
      </c>
      <c r="D53" s="284"/>
      <c r="E53" s="162">
        <v>14.7</v>
      </c>
      <c r="F53" s="121">
        <v>8.99</v>
      </c>
      <c r="H53" s="93" t="str">
        <f t="shared" si="1"/>
        <v>Damaged Distribution Transformer's HT/LT Aluminium coils scrap with insulation, Lying at TRY Sangrur. Quantity in MT - 14.7</v>
      </c>
    </row>
    <row r="54" spans="1:8" ht="17.25" customHeight="1">
      <c r="A54" s="269" t="s">
        <v>663</v>
      </c>
      <c r="B54" s="270"/>
      <c r="C54" s="276" t="s">
        <v>135</v>
      </c>
      <c r="D54" s="276"/>
      <c r="E54" s="73">
        <v>10</v>
      </c>
      <c r="H54" s="93" t="str">
        <f t="shared" si="1"/>
        <v>Damaged Distribution Transformer's HT/LT Aluminium coils scrap with insulation, Lying at TRY Sangrur. Quantity in MT - 10</v>
      </c>
    </row>
    <row r="55" spans="1:8" ht="17.25" customHeight="1">
      <c r="A55" s="269" t="s">
        <v>664</v>
      </c>
      <c r="B55" s="270"/>
      <c r="C55" s="276" t="s">
        <v>132</v>
      </c>
      <c r="D55" s="276"/>
      <c r="E55" s="73">
        <v>7.16</v>
      </c>
      <c r="H55" s="93" t="str">
        <f t="shared" si="1"/>
        <v>Damaged Distribution Transformer's HT/LT Aluminium coils scrap with insulation, Lying at TRY Bhagta Bhai Ka. Quantity in MT - 7.16</v>
      </c>
    </row>
    <row r="56" spans="1:8" ht="17.25" customHeight="1">
      <c r="A56" s="269" t="s">
        <v>665</v>
      </c>
      <c r="B56" s="270"/>
      <c r="C56" s="276" t="s">
        <v>132</v>
      </c>
      <c r="D56" s="276"/>
      <c r="E56" s="73">
        <v>10</v>
      </c>
      <c r="H56" s="93" t="str">
        <f t="shared" si="1"/>
        <v>Damaged Distribution Transformer's HT/LT Aluminium coils scrap with insulation, Lying at TRY Bhagta Bhai Ka. Quantity in MT - 10</v>
      </c>
    </row>
    <row r="57" spans="1:8" ht="17.25" customHeight="1" thickBot="1">
      <c r="A57" s="269" t="s">
        <v>680</v>
      </c>
      <c r="B57" s="270"/>
      <c r="C57" s="331" t="s">
        <v>42</v>
      </c>
      <c r="D57" s="331"/>
      <c r="E57" s="162">
        <v>4.435</v>
      </c>
      <c r="F57" s="1" t="s">
        <v>320</v>
      </c>
      <c r="H57" s="93" t="str">
        <f t="shared" si="1"/>
        <v>Damaged Distribution Transformer's HT/LT Aluminium coils scrap with insulation, Lying at TRY Ferozepur. Quantity in MT - 4.435</v>
      </c>
    </row>
    <row r="58" spans="1:5" ht="17.25" customHeight="1" thickBot="1">
      <c r="A58" s="327" t="s">
        <v>113</v>
      </c>
      <c r="B58" s="328"/>
      <c r="C58" s="344"/>
      <c r="D58" s="345"/>
      <c r="E58" s="124">
        <f>SUM(E35:E57)</f>
        <v>238.01099999999997</v>
      </c>
    </row>
    <row r="59" spans="1:8" ht="17.25" customHeight="1">
      <c r="A59" s="329"/>
      <c r="B59" s="329"/>
      <c r="C59" s="329"/>
      <c r="D59" s="329"/>
      <c r="E59" s="330"/>
      <c r="H59" s="111"/>
    </row>
    <row r="60" spans="1:5" ht="17.25" customHeight="1">
      <c r="A60" s="342" t="s">
        <v>107</v>
      </c>
      <c r="B60" s="342"/>
      <c r="C60" s="342"/>
      <c r="D60" s="342"/>
      <c r="E60" s="343"/>
    </row>
    <row r="61" spans="1:5" ht="17.25" customHeight="1">
      <c r="A61" s="332" t="s">
        <v>707</v>
      </c>
      <c r="B61" s="333"/>
      <c r="C61" s="333"/>
      <c r="D61" s="333"/>
      <c r="E61" s="333"/>
    </row>
    <row r="62" spans="1:5" ht="17.25" customHeight="1">
      <c r="A62" s="89"/>
      <c r="B62" s="90"/>
      <c r="C62" s="90"/>
      <c r="D62" s="90"/>
      <c r="E62" s="90"/>
    </row>
    <row r="63" spans="1:6" ht="29.25" customHeight="1">
      <c r="A63" s="269" t="s">
        <v>243</v>
      </c>
      <c r="B63" s="276"/>
      <c r="C63" s="276"/>
      <c r="D63" s="276"/>
      <c r="E63" s="270"/>
      <c r="F63" s="1">
        <f>B78+B92+B104+B118+B133+B146+B154+B168+B181+B201+B214+B228+B248+B270+B283+B297+B310+B329+B349+B373+B395+B408+B422+B442+B456+B473+B486+B502+B516+B539+B557+B571+B589+B607</f>
        <v>2884</v>
      </c>
    </row>
    <row r="64" spans="1:5" ht="24.75" customHeight="1">
      <c r="A64" s="40" t="s">
        <v>212</v>
      </c>
      <c r="B64" s="40" t="s">
        <v>213</v>
      </c>
      <c r="C64" s="40" t="s">
        <v>214</v>
      </c>
      <c r="D64" s="40" t="s">
        <v>215</v>
      </c>
      <c r="E64" s="39" t="s">
        <v>216</v>
      </c>
    </row>
    <row r="65" spans="1:6" ht="17.25" customHeight="1">
      <c r="A65" s="273" t="s">
        <v>217</v>
      </c>
      <c r="B65" s="274"/>
      <c r="C65" s="275"/>
      <c r="D65" s="208"/>
      <c r="E65" s="211"/>
      <c r="F65" s="1">
        <f>B66+B67+B68+B69+B70+B72+B73+B74+B75+B76</f>
        <v>249</v>
      </c>
    </row>
    <row r="66" spans="1:5" ht="17.25" customHeight="1">
      <c r="A66" s="112">
        <v>90</v>
      </c>
      <c r="B66" s="113">
        <v>27</v>
      </c>
      <c r="C66" s="113" t="s">
        <v>218</v>
      </c>
      <c r="D66" s="112" t="s">
        <v>219</v>
      </c>
      <c r="E66" s="113">
        <v>1301</v>
      </c>
    </row>
    <row r="67" spans="1:5" ht="17.25" customHeight="1">
      <c r="A67" s="112">
        <v>91</v>
      </c>
      <c r="B67" s="113">
        <v>25</v>
      </c>
      <c r="C67" s="113" t="s">
        <v>218</v>
      </c>
      <c r="D67" s="112" t="s">
        <v>220</v>
      </c>
      <c r="E67" s="113">
        <v>1214</v>
      </c>
    </row>
    <row r="68" spans="1:5" ht="17.25" customHeight="1">
      <c r="A68" s="112">
        <v>92</v>
      </c>
      <c r="B68" s="113">
        <v>14</v>
      </c>
      <c r="C68" s="113" t="s">
        <v>218</v>
      </c>
      <c r="D68" s="112" t="s">
        <v>221</v>
      </c>
      <c r="E68" s="113">
        <v>678</v>
      </c>
    </row>
    <row r="69" spans="1:5" ht="17.25" customHeight="1">
      <c r="A69" s="112">
        <v>93</v>
      </c>
      <c r="B69" s="113">
        <v>25</v>
      </c>
      <c r="C69" s="113" t="s">
        <v>218</v>
      </c>
      <c r="D69" s="112" t="s">
        <v>226</v>
      </c>
      <c r="E69" s="113">
        <v>1201</v>
      </c>
    </row>
    <row r="70" spans="1:5" ht="17.25" customHeight="1">
      <c r="A70" s="112">
        <v>94</v>
      </c>
      <c r="B70" s="113">
        <v>18</v>
      </c>
      <c r="C70" s="113" t="s">
        <v>218</v>
      </c>
      <c r="D70" s="112" t="s">
        <v>227</v>
      </c>
      <c r="E70" s="113">
        <v>835</v>
      </c>
    </row>
    <row r="71" spans="1:5" ht="72.75" customHeight="1">
      <c r="A71" s="112">
        <v>95</v>
      </c>
      <c r="B71" s="113">
        <v>20</v>
      </c>
      <c r="C71" s="125" t="s">
        <v>241</v>
      </c>
      <c r="D71" s="118" t="s">
        <v>258</v>
      </c>
      <c r="E71" s="117">
        <v>4276</v>
      </c>
    </row>
    <row r="72" spans="1:5" ht="17.25" customHeight="1">
      <c r="A72" s="112">
        <v>96</v>
      </c>
      <c r="B72" s="113">
        <v>27</v>
      </c>
      <c r="C72" s="114" t="s">
        <v>218</v>
      </c>
      <c r="D72" s="112" t="s">
        <v>259</v>
      </c>
      <c r="E72" s="117">
        <v>1303</v>
      </c>
    </row>
    <row r="73" spans="1:5" ht="17.25" customHeight="1">
      <c r="A73" s="112">
        <v>97</v>
      </c>
      <c r="B73" s="113">
        <v>26</v>
      </c>
      <c r="C73" s="114" t="s">
        <v>218</v>
      </c>
      <c r="D73" s="112" t="s">
        <v>260</v>
      </c>
      <c r="E73" s="117">
        <v>1209</v>
      </c>
    </row>
    <row r="74" spans="1:5" ht="17.25" customHeight="1">
      <c r="A74" s="112">
        <v>98</v>
      </c>
      <c r="B74" s="113">
        <v>27</v>
      </c>
      <c r="C74" s="114" t="s">
        <v>225</v>
      </c>
      <c r="D74" s="118" t="s">
        <v>259</v>
      </c>
      <c r="E74" s="113">
        <v>1286</v>
      </c>
    </row>
    <row r="75" spans="1:5" ht="17.25" customHeight="1">
      <c r="A75" s="112">
        <v>99</v>
      </c>
      <c r="B75" s="113">
        <v>30</v>
      </c>
      <c r="C75" s="114" t="s">
        <v>225</v>
      </c>
      <c r="D75" s="118" t="s">
        <v>261</v>
      </c>
      <c r="E75" s="113">
        <v>1365</v>
      </c>
    </row>
    <row r="76" spans="1:5" ht="17.25" customHeight="1">
      <c r="A76" s="112">
        <v>100</v>
      </c>
      <c r="B76" s="113">
        <v>30</v>
      </c>
      <c r="C76" s="114" t="s">
        <v>225</v>
      </c>
      <c r="D76" s="118" t="s">
        <v>261</v>
      </c>
      <c r="E76" s="113">
        <v>1374</v>
      </c>
    </row>
    <row r="77" spans="1:5" ht="17.25" customHeight="1">
      <c r="A77" s="210"/>
      <c r="B77" s="126">
        <f>SUM(B66:B76)</f>
        <v>269</v>
      </c>
      <c r="C77" s="126"/>
      <c r="D77" s="126"/>
      <c r="E77" s="126">
        <f>SUM(E66:E76)</f>
        <v>16042</v>
      </c>
    </row>
    <row r="78" spans="1:5" ht="17.25" customHeight="1">
      <c r="A78" s="208" t="s">
        <v>14</v>
      </c>
      <c r="B78" s="126">
        <f>B77</f>
        <v>269</v>
      </c>
      <c r="C78" s="126"/>
      <c r="D78" s="126"/>
      <c r="E78" s="126">
        <f>E77</f>
        <v>16042</v>
      </c>
    </row>
    <row r="79" spans="1:5" ht="17.25" customHeight="1">
      <c r="A79" s="211"/>
      <c r="B79" s="127"/>
      <c r="C79" s="127"/>
      <c r="D79" s="127"/>
      <c r="E79" s="127"/>
    </row>
    <row r="80" spans="1:5" ht="27.75" customHeight="1">
      <c r="A80" s="269" t="s">
        <v>295</v>
      </c>
      <c r="B80" s="276"/>
      <c r="C80" s="276"/>
      <c r="D80" s="276"/>
      <c r="E80" s="276"/>
    </row>
    <row r="81" spans="1:5" ht="24.75" customHeight="1">
      <c r="A81" s="40" t="s">
        <v>212</v>
      </c>
      <c r="B81" s="40" t="s">
        <v>213</v>
      </c>
      <c r="C81" s="40" t="s">
        <v>214</v>
      </c>
      <c r="D81" s="40" t="s">
        <v>215</v>
      </c>
      <c r="E81" s="39" t="s">
        <v>216</v>
      </c>
    </row>
    <row r="82" spans="1:5" ht="17.25" customHeight="1">
      <c r="A82" s="273" t="s">
        <v>223</v>
      </c>
      <c r="B82" s="274"/>
      <c r="C82" s="275"/>
      <c r="D82" s="40"/>
      <c r="E82" s="39"/>
    </row>
    <row r="83" spans="1:5" ht="17.25" customHeight="1">
      <c r="A83" s="110" t="s">
        <v>281</v>
      </c>
      <c r="B83" s="105">
        <v>7</v>
      </c>
      <c r="C83" s="105" t="s">
        <v>228</v>
      </c>
      <c r="D83" s="105" t="s">
        <v>282</v>
      </c>
      <c r="E83" s="105">
        <v>780</v>
      </c>
    </row>
    <row r="84" spans="1:5" ht="17.25" customHeight="1">
      <c r="A84" s="210"/>
      <c r="B84" s="88">
        <f>SUM(B83:B83)</f>
        <v>7</v>
      </c>
      <c r="C84" s="88"/>
      <c r="D84" s="88"/>
      <c r="E84" s="88">
        <f>SUM(E83:E83)</f>
        <v>780</v>
      </c>
    </row>
    <row r="85" spans="1:5" ht="17.25" customHeight="1">
      <c r="A85" s="273" t="s">
        <v>217</v>
      </c>
      <c r="B85" s="274"/>
      <c r="C85" s="275"/>
      <c r="D85" s="34"/>
      <c r="E85" s="34"/>
    </row>
    <row r="86" spans="1:5" ht="17.25" customHeight="1">
      <c r="A86" s="110" t="s">
        <v>283</v>
      </c>
      <c r="B86" s="105">
        <v>4</v>
      </c>
      <c r="C86" s="109" t="s">
        <v>232</v>
      </c>
      <c r="D86" s="105" t="s">
        <v>284</v>
      </c>
      <c r="E86" s="105">
        <v>466</v>
      </c>
    </row>
    <row r="87" spans="1:5" ht="17.25" customHeight="1">
      <c r="A87" s="110" t="s">
        <v>283</v>
      </c>
      <c r="B87" s="105">
        <v>1</v>
      </c>
      <c r="C87" s="109" t="s">
        <v>241</v>
      </c>
      <c r="D87" s="105" t="s">
        <v>262</v>
      </c>
      <c r="E87" s="105">
        <v>220</v>
      </c>
    </row>
    <row r="88" spans="1:5" ht="17.25" customHeight="1">
      <c r="A88" s="110" t="s">
        <v>283</v>
      </c>
      <c r="B88" s="105">
        <v>1</v>
      </c>
      <c r="C88" s="109" t="s">
        <v>245</v>
      </c>
      <c r="D88" s="105" t="s">
        <v>285</v>
      </c>
      <c r="E88" s="105">
        <v>295</v>
      </c>
    </row>
    <row r="89" spans="1:5" ht="17.25" customHeight="1">
      <c r="A89" s="110" t="s">
        <v>286</v>
      </c>
      <c r="B89" s="105">
        <v>1</v>
      </c>
      <c r="C89" s="105" t="s">
        <v>228</v>
      </c>
      <c r="D89" s="40" t="s">
        <v>246</v>
      </c>
      <c r="E89" s="105">
        <v>87</v>
      </c>
    </row>
    <row r="90" spans="1:5" ht="17.25" customHeight="1">
      <c r="A90" s="110" t="s">
        <v>287</v>
      </c>
      <c r="B90" s="105">
        <v>1</v>
      </c>
      <c r="C90" s="109" t="s">
        <v>232</v>
      </c>
      <c r="D90" s="40" t="s">
        <v>246</v>
      </c>
      <c r="E90" s="105">
        <v>115</v>
      </c>
    </row>
    <row r="91" spans="1:5" ht="17.25" customHeight="1">
      <c r="A91" s="40"/>
      <c r="B91" s="208">
        <f>SUM(B86:B90)</f>
        <v>8</v>
      </c>
      <c r="C91" s="208"/>
      <c r="D91" s="208"/>
      <c r="E91" s="208">
        <f>SUM(E86:E90)</f>
        <v>1183</v>
      </c>
    </row>
    <row r="92" spans="1:5" ht="17.25" customHeight="1">
      <c r="A92" s="208" t="s">
        <v>14</v>
      </c>
      <c r="B92" s="126">
        <f>B84+B91</f>
        <v>15</v>
      </c>
      <c r="C92" s="126"/>
      <c r="D92" s="126"/>
      <c r="E92" s="126">
        <f>E84+E91</f>
        <v>1963</v>
      </c>
    </row>
    <row r="93" spans="1:5" ht="17.25" customHeight="1">
      <c r="A93" s="211"/>
      <c r="B93" s="127"/>
      <c r="C93" s="128"/>
      <c r="D93" s="126"/>
      <c r="E93" s="126"/>
    </row>
    <row r="94" spans="1:5" ht="33.75" customHeight="1">
      <c r="A94" s="269" t="s">
        <v>415</v>
      </c>
      <c r="B94" s="276"/>
      <c r="C94" s="276"/>
      <c r="D94" s="276"/>
      <c r="E94" s="276"/>
    </row>
    <row r="95" spans="1:5" ht="23.25" customHeight="1">
      <c r="A95" s="40">
        <v>44</v>
      </c>
      <c r="B95" s="40" t="s">
        <v>213</v>
      </c>
      <c r="C95" s="40" t="s">
        <v>214</v>
      </c>
      <c r="D95" s="40" t="s">
        <v>215</v>
      </c>
      <c r="E95" s="39" t="s">
        <v>216</v>
      </c>
    </row>
    <row r="96" spans="1:5" ht="17.25" customHeight="1">
      <c r="A96" s="273" t="s">
        <v>223</v>
      </c>
      <c r="B96" s="274"/>
      <c r="C96" s="275"/>
      <c r="D96" s="40"/>
      <c r="E96" s="39"/>
    </row>
    <row r="97" spans="1:5" ht="17.25" customHeight="1">
      <c r="A97" s="45">
        <v>756</v>
      </c>
      <c r="B97" s="45">
        <v>3</v>
      </c>
      <c r="C97" s="45" t="s">
        <v>225</v>
      </c>
      <c r="D97" s="45" t="s">
        <v>290</v>
      </c>
      <c r="E97" s="45">
        <v>226</v>
      </c>
    </row>
    <row r="98" spans="1:5" ht="17.25" customHeight="1">
      <c r="A98" s="45">
        <v>757</v>
      </c>
      <c r="B98" s="45">
        <v>10</v>
      </c>
      <c r="C98" s="45" t="s">
        <v>228</v>
      </c>
      <c r="D98" s="45" t="s">
        <v>291</v>
      </c>
      <c r="E98" s="45">
        <v>1056</v>
      </c>
    </row>
    <row r="99" spans="1:5" ht="17.25" customHeight="1">
      <c r="A99" s="210"/>
      <c r="B99" s="88">
        <f>SUM(B97:B98)</f>
        <v>13</v>
      </c>
      <c r="C99" s="88"/>
      <c r="D99" s="88"/>
      <c r="E99" s="88">
        <f>SUM(E97:E98)</f>
        <v>1282</v>
      </c>
    </row>
    <row r="100" spans="1:5" ht="17.25" customHeight="1">
      <c r="A100" s="273" t="s">
        <v>217</v>
      </c>
      <c r="B100" s="274"/>
      <c r="C100" s="275"/>
      <c r="D100" s="34"/>
      <c r="E100" s="34"/>
    </row>
    <row r="101" spans="1:5" ht="17.25" customHeight="1">
      <c r="A101" s="45">
        <v>758</v>
      </c>
      <c r="B101" s="45">
        <v>8</v>
      </c>
      <c r="C101" s="45" t="s">
        <v>225</v>
      </c>
      <c r="D101" s="45" t="s">
        <v>292</v>
      </c>
      <c r="E101" s="45">
        <v>586</v>
      </c>
    </row>
    <row r="102" spans="1:5" ht="17.25" customHeight="1">
      <c r="A102" s="45">
        <v>759</v>
      </c>
      <c r="B102" s="45">
        <v>1</v>
      </c>
      <c r="C102" s="45" t="s">
        <v>228</v>
      </c>
      <c r="D102" s="45" t="s">
        <v>238</v>
      </c>
      <c r="E102" s="45">
        <v>82</v>
      </c>
    </row>
    <row r="103" spans="1:5" ht="17.25" customHeight="1">
      <c r="A103" s="40"/>
      <c r="B103" s="208">
        <f>SUM(B101:B102)</f>
        <v>9</v>
      </c>
      <c r="C103" s="208"/>
      <c r="D103" s="208"/>
      <c r="E103" s="208">
        <f>SUM(E101:E102)</f>
        <v>668</v>
      </c>
    </row>
    <row r="104" spans="1:5" ht="17.25" customHeight="1">
      <c r="A104" s="208" t="s">
        <v>14</v>
      </c>
      <c r="B104" s="126">
        <f>B99+B103</f>
        <v>22</v>
      </c>
      <c r="C104" s="126"/>
      <c r="D104" s="126"/>
      <c r="E104" s="126">
        <f>E99+E103</f>
        <v>1950</v>
      </c>
    </row>
    <row r="105" spans="1:5" ht="17.25" customHeight="1">
      <c r="A105" s="211"/>
      <c r="B105" s="127"/>
      <c r="C105" s="128"/>
      <c r="D105" s="126"/>
      <c r="E105" s="126"/>
    </row>
    <row r="106" spans="1:5" ht="31.5" customHeight="1">
      <c r="A106" s="269" t="s">
        <v>416</v>
      </c>
      <c r="B106" s="276"/>
      <c r="C106" s="276"/>
      <c r="D106" s="276"/>
      <c r="E106" s="276"/>
    </row>
    <row r="107" spans="1:5" ht="24.75" customHeight="1">
      <c r="A107" s="40" t="s">
        <v>212</v>
      </c>
      <c r="B107" s="40" t="s">
        <v>213</v>
      </c>
      <c r="C107" s="40" t="s">
        <v>214</v>
      </c>
      <c r="D107" s="40" t="s">
        <v>215</v>
      </c>
      <c r="E107" s="39" t="s">
        <v>216</v>
      </c>
    </row>
    <row r="108" spans="1:5" ht="17.25" customHeight="1">
      <c r="A108" s="273" t="s">
        <v>223</v>
      </c>
      <c r="B108" s="274"/>
      <c r="C108" s="275"/>
      <c r="D108" s="40"/>
      <c r="E108" s="39"/>
    </row>
    <row r="109" spans="1:5" ht="17.25" customHeight="1">
      <c r="A109" s="40">
        <v>996</v>
      </c>
      <c r="B109" s="40">
        <v>3</v>
      </c>
      <c r="C109" s="40" t="s">
        <v>218</v>
      </c>
      <c r="D109" s="40" t="s">
        <v>296</v>
      </c>
      <c r="E109" s="106">
        <v>216</v>
      </c>
    </row>
    <row r="110" spans="1:5" ht="17.25" customHeight="1">
      <c r="A110" s="40">
        <v>997</v>
      </c>
      <c r="B110" s="40">
        <v>3</v>
      </c>
      <c r="C110" s="40" t="s">
        <v>237</v>
      </c>
      <c r="D110" s="40" t="s">
        <v>297</v>
      </c>
      <c r="E110" s="106">
        <v>304</v>
      </c>
    </row>
    <row r="111" spans="1:5" ht="17.25" customHeight="1">
      <c r="A111" s="210"/>
      <c r="B111" s="88">
        <f>SUM(B109:B110)</f>
        <v>6</v>
      </c>
      <c r="C111" s="88"/>
      <c r="D111" s="88"/>
      <c r="E111" s="88">
        <f>SUM(E109:E110)</f>
        <v>520</v>
      </c>
    </row>
    <row r="112" spans="1:5" ht="17.25" customHeight="1">
      <c r="A112" s="273" t="s">
        <v>217</v>
      </c>
      <c r="B112" s="274"/>
      <c r="C112" s="275"/>
      <c r="D112" s="34"/>
      <c r="E112" s="34"/>
    </row>
    <row r="113" spans="1:5" ht="17.25" customHeight="1">
      <c r="A113" s="70">
        <v>998</v>
      </c>
      <c r="B113" s="91">
        <v>3</v>
      </c>
      <c r="C113" s="70" t="s">
        <v>236</v>
      </c>
      <c r="D113" s="40" t="s">
        <v>240</v>
      </c>
      <c r="E113" s="107">
        <v>137</v>
      </c>
    </row>
    <row r="114" spans="1:5" ht="17.25" customHeight="1">
      <c r="A114" s="70">
        <v>999</v>
      </c>
      <c r="B114" s="91">
        <v>14</v>
      </c>
      <c r="C114" s="70" t="s">
        <v>218</v>
      </c>
      <c r="D114" s="40" t="s">
        <v>298</v>
      </c>
      <c r="E114" s="107">
        <v>1255</v>
      </c>
    </row>
    <row r="115" spans="1:5" ht="17.25" customHeight="1">
      <c r="A115" s="70">
        <v>1000</v>
      </c>
      <c r="B115" s="91">
        <v>7</v>
      </c>
      <c r="C115" s="70" t="s">
        <v>218</v>
      </c>
      <c r="D115" s="40" t="s">
        <v>299</v>
      </c>
      <c r="E115" s="107">
        <v>613</v>
      </c>
    </row>
    <row r="116" spans="1:5" ht="17.25" customHeight="1">
      <c r="A116" s="70">
        <v>1001</v>
      </c>
      <c r="B116" s="91">
        <v>1</v>
      </c>
      <c r="C116" s="70" t="s">
        <v>237</v>
      </c>
      <c r="D116" s="40" t="s">
        <v>239</v>
      </c>
      <c r="E116" s="107">
        <v>101</v>
      </c>
    </row>
    <row r="117" spans="1:5" ht="17.25" customHeight="1">
      <c r="A117" s="40"/>
      <c r="B117" s="208">
        <f>SUM(B113:B116)</f>
        <v>25</v>
      </c>
      <c r="C117" s="208"/>
      <c r="D117" s="208"/>
      <c r="E117" s="208">
        <f>SUM(E113:E116)</f>
        <v>2106</v>
      </c>
    </row>
    <row r="118" spans="1:5" ht="17.25" customHeight="1">
      <c r="A118" s="208" t="s">
        <v>14</v>
      </c>
      <c r="B118" s="126">
        <f>B111+B117</f>
        <v>31</v>
      </c>
      <c r="C118" s="126"/>
      <c r="D118" s="126"/>
      <c r="E118" s="126">
        <f>E111+E117</f>
        <v>2626</v>
      </c>
    </row>
    <row r="119" spans="1:5" ht="17.25" customHeight="1">
      <c r="A119" s="211"/>
      <c r="B119" s="127"/>
      <c r="C119" s="128"/>
      <c r="D119" s="126"/>
      <c r="E119" s="126"/>
    </row>
    <row r="120" spans="1:7" ht="28.5" customHeight="1">
      <c r="A120" s="269" t="s">
        <v>417</v>
      </c>
      <c r="B120" s="276"/>
      <c r="C120" s="276"/>
      <c r="D120" s="276"/>
      <c r="E120" s="276"/>
      <c r="F120" s="132"/>
      <c r="G120" s="132"/>
    </row>
    <row r="121" spans="1:7" ht="26.25" customHeight="1">
      <c r="A121" s="40" t="s">
        <v>212</v>
      </c>
      <c r="B121" s="40" t="s">
        <v>213</v>
      </c>
      <c r="C121" s="40" t="s">
        <v>214</v>
      </c>
      <c r="D121" s="40" t="s">
        <v>215</v>
      </c>
      <c r="E121" s="39" t="s">
        <v>216</v>
      </c>
      <c r="F121" s="132"/>
      <c r="G121" s="132"/>
    </row>
    <row r="122" spans="1:7" ht="17.25" customHeight="1">
      <c r="A122" s="273" t="s">
        <v>223</v>
      </c>
      <c r="B122" s="274"/>
      <c r="C122" s="275"/>
      <c r="D122" s="40"/>
      <c r="E122" s="39"/>
      <c r="F122" s="132"/>
      <c r="G122" s="132"/>
    </row>
    <row r="123" spans="1:7" ht="17.25" customHeight="1">
      <c r="A123" s="45">
        <v>724</v>
      </c>
      <c r="B123" s="105">
        <v>1</v>
      </c>
      <c r="C123" s="105" t="s">
        <v>224</v>
      </c>
      <c r="D123" s="105" t="s">
        <v>301</v>
      </c>
      <c r="E123" s="105">
        <v>50</v>
      </c>
      <c r="F123" s="132"/>
      <c r="G123" s="132"/>
    </row>
    <row r="124" spans="1:7" ht="17.25" customHeight="1">
      <c r="A124" s="45">
        <v>725</v>
      </c>
      <c r="B124" s="105">
        <v>6</v>
      </c>
      <c r="C124" s="105" t="s">
        <v>225</v>
      </c>
      <c r="D124" s="105" t="s">
        <v>302</v>
      </c>
      <c r="E124" s="105">
        <v>446</v>
      </c>
      <c r="F124" s="132"/>
      <c r="G124" s="132"/>
    </row>
    <row r="125" spans="1:7" ht="17.25" customHeight="1">
      <c r="A125" s="45">
        <v>726</v>
      </c>
      <c r="B125" s="105">
        <v>21</v>
      </c>
      <c r="C125" s="105" t="s">
        <v>228</v>
      </c>
      <c r="D125" s="134" t="s">
        <v>307</v>
      </c>
      <c r="E125" s="105">
        <v>2233</v>
      </c>
      <c r="F125" s="132"/>
      <c r="G125" s="132"/>
    </row>
    <row r="126" spans="1:7" ht="17.25" customHeight="1">
      <c r="A126" s="208"/>
      <c r="B126" s="208">
        <f>SUM(B123:B125)</f>
        <v>28</v>
      </c>
      <c r="C126" s="208"/>
      <c r="D126" s="208"/>
      <c r="E126" s="208">
        <f>SUM(E123:E125)</f>
        <v>2729</v>
      </c>
      <c r="F126" s="132"/>
      <c r="G126" s="132"/>
    </row>
    <row r="127" spans="1:7" ht="17.25" customHeight="1">
      <c r="A127" s="273" t="s">
        <v>217</v>
      </c>
      <c r="B127" s="274"/>
      <c r="C127" s="275"/>
      <c r="D127" s="208"/>
      <c r="E127" s="211"/>
      <c r="F127" s="132"/>
      <c r="G127" s="132"/>
    </row>
    <row r="128" spans="1:7" ht="17.25" customHeight="1">
      <c r="A128" s="45">
        <v>730</v>
      </c>
      <c r="B128" s="105">
        <v>1</v>
      </c>
      <c r="C128" s="109" t="s">
        <v>245</v>
      </c>
      <c r="D128" s="105" t="s">
        <v>303</v>
      </c>
      <c r="E128" s="105">
        <v>265</v>
      </c>
      <c r="F128" s="132"/>
      <c r="G128" s="132"/>
    </row>
    <row r="129" spans="1:7" ht="17.25" customHeight="1">
      <c r="A129" s="45">
        <v>727</v>
      </c>
      <c r="B129" s="105">
        <v>10</v>
      </c>
      <c r="C129" s="105" t="s">
        <v>225</v>
      </c>
      <c r="D129" s="105" t="s">
        <v>304</v>
      </c>
      <c r="E129" s="105">
        <v>750</v>
      </c>
      <c r="F129" s="132"/>
      <c r="G129" s="132"/>
    </row>
    <row r="130" spans="1:7" ht="17.25" customHeight="1">
      <c r="A130" s="45">
        <v>728</v>
      </c>
      <c r="B130" s="105">
        <v>5</v>
      </c>
      <c r="C130" s="105" t="s">
        <v>228</v>
      </c>
      <c r="D130" s="105" t="s">
        <v>305</v>
      </c>
      <c r="E130" s="105">
        <v>403</v>
      </c>
      <c r="F130" s="132"/>
      <c r="G130" s="132"/>
    </row>
    <row r="131" spans="1:7" ht="17.25" customHeight="1">
      <c r="A131" s="45">
        <v>729</v>
      </c>
      <c r="B131" s="105">
        <v>2</v>
      </c>
      <c r="C131" s="109" t="s">
        <v>232</v>
      </c>
      <c r="D131" s="105" t="s">
        <v>306</v>
      </c>
      <c r="E131" s="105">
        <v>207</v>
      </c>
      <c r="F131" s="132"/>
      <c r="G131" s="132"/>
    </row>
    <row r="132" spans="1:7" ht="17.25" customHeight="1">
      <c r="A132" s="40"/>
      <c r="B132" s="208">
        <f>SUM(B128:B131)</f>
        <v>18</v>
      </c>
      <c r="C132" s="208"/>
      <c r="D132" s="208"/>
      <c r="E132" s="208">
        <f>SUM(E128:E131)</f>
        <v>1625</v>
      </c>
      <c r="F132" s="132"/>
      <c r="G132" s="132"/>
    </row>
    <row r="133" spans="1:7" ht="17.25" customHeight="1">
      <c r="A133" s="208" t="s">
        <v>14</v>
      </c>
      <c r="B133" s="126">
        <f>B126+B132</f>
        <v>46</v>
      </c>
      <c r="C133" s="126"/>
      <c r="D133" s="126"/>
      <c r="E133" s="126">
        <f>E126+E132</f>
        <v>4354</v>
      </c>
      <c r="F133" s="132"/>
      <c r="G133" s="132"/>
    </row>
    <row r="134" spans="1:7" ht="17.25" customHeight="1">
      <c r="A134" s="211"/>
      <c r="B134" s="127"/>
      <c r="C134" s="128"/>
      <c r="D134" s="126"/>
      <c r="E134" s="126"/>
      <c r="F134" s="132"/>
      <c r="G134" s="132"/>
    </row>
    <row r="135" spans="1:7" ht="27.75" customHeight="1">
      <c r="A135" s="269" t="s">
        <v>418</v>
      </c>
      <c r="B135" s="276"/>
      <c r="C135" s="276"/>
      <c r="D135" s="276"/>
      <c r="E135" s="276"/>
      <c r="F135" s="132"/>
      <c r="G135" s="132"/>
    </row>
    <row r="136" spans="1:7" ht="21.75" customHeight="1">
      <c r="A136" s="40" t="s">
        <v>212</v>
      </c>
      <c r="B136" s="40" t="s">
        <v>213</v>
      </c>
      <c r="C136" s="40" t="s">
        <v>214</v>
      </c>
      <c r="D136" s="40" t="s">
        <v>215</v>
      </c>
      <c r="E136" s="39" t="s">
        <v>216</v>
      </c>
      <c r="F136" s="132"/>
      <c r="G136" s="132"/>
    </row>
    <row r="137" spans="1:7" ht="17.25" customHeight="1">
      <c r="A137" s="273" t="s">
        <v>223</v>
      </c>
      <c r="B137" s="274"/>
      <c r="C137" s="275"/>
      <c r="D137" s="40"/>
      <c r="E137" s="39"/>
      <c r="F137" s="132"/>
      <c r="G137" s="132"/>
    </row>
    <row r="138" spans="1:7" ht="17.25" customHeight="1">
      <c r="A138" s="45">
        <v>431</v>
      </c>
      <c r="B138" s="45">
        <v>6</v>
      </c>
      <c r="C138" s="45" t="s">
        <v>228</v>
      </c>
      <c r="D138" s="45" t="s">
        <v>308</v>
      </c>
      <c r="E138" s="45">
        <v>696</v>
      </c>
      <c r="F138" s="132"/>
      <c r="G138" s="132"/>
    </row>
    <row r="139" spans="1:7" ht="17.25" customHeight="1">
      <c r="A139" s="45">
        <v>431</v>
      </c>
      <c r="B139" s="45">
        <v>2</v>
      </c>
      <c r="C139" s="45" t="s">
        <v>225</v>
      </c>
      <c r="D139" s="45" t="s">
        <v>309</v>
      </c>
      <c r="E139" s="45">
        <v>174</v>
      </c>
      <c r="F139" s="132"/>
      <c r="G139" s="132"/>
    </row>
    <row r="140" spans="1:7" ht="17.25" customHeight="1">
      <c r="A140" s="208"/>
      <c r="B140" s="208">
        <f>SUM(B138:B139)</f>
        <v>8</v>
      </c>
      <c r="C140" s="208"/>
      <c r="D140" s="208"/>
      <c r="E140" s="208">
        <f>SUM(E138:E139)</f>
        <v>870</v>
      </c>
      <c r="F140" s="132"/>
      <c r="G140" s="132"/>
    </row>
    <row r="141" spans="1:7" ht="17.25" customHeight="1">
      <c r="A141" s="273" t="s">
        <v>217</v>
      </c>
      <c r="B141" s="274"/>
      <c r="C141" s="275"/>
      <c r="D141" s="208"/>
      <c r="E141" s="211"/>
      <c r="F141" s="132"/>
      <c r="G141" s="132"/>
    </row>
    <row r="142" spans="1:7" ht="17.25" customHeight="1">
      <c r="A142" s="45">
        <v>433</v>
      </c>
      <c r="B142" s="45">
        <v>2</v>
      </c>
      <c r="C142" s="109" t="s">
        <v>232</v>
      </c>
      <c r="D142" s="45" t="s">
        <v>310</v>
      </c>
      <c r="E142" s="45">
        <v>250</v>
      </c>
      <c r="F142" s="132"/>
      <c r="G142" s="132"/>
    </row>
    <row r="143" spans="1:7" ht="17.25" customHeight="1">
      <c r="A143" s="45">
        <v>432</v>
      </c>
      <c r="B143" s="45">
        <v>1</v>
      </c>
      <c r="C143" s="45" t="s">
        <v>228</v>
      </c>
      <c r="D143" s="45" t="s">
        <v>239</v>
      </c>
      <c r="E143" s="45">
        <v>90</v>
      </c>
      <c r="F143" s="132"/>
      <c r="G143" s="132"/>
    </row>
    <row r="144" spans="1:7" ht="17.25" customHeight="1">
      <c r="A144" s="45">
        <v>432</v>
      </c>
      <c r="B144" s="45">
        <v>1</v>
      </c>
      <c r="C144" s="109" t="s">
        <v>232</v>
      </c>
      <c r="D144" s="45" t="s">
        <v>239</v>
      </c>
      <c r="E144" s="45">
        <v>125</v>
      </c>
      <c r="F144" s="132"/>
      <c r="G144" s="132"/>
    </row>
    <row r="145" spans="1:7" ht="17.25" customHeight="1">
      <c r="A145" s="40"/>
      <c r="B145" s="208">
        <f>SUM(B142:B144)</f>
        <v>4</v>
      </c>
      <c r="C145" s="208"/>
      <c r="D145" s="208"/>
      <c r="E145" s="208">
        <f>SUM(E142:E144)</f>
        <v>465</v>
      </c>
      <c r="F145" s="132"/>
      <c r="G145" s="132"/>
    </row>
    <row r="146" spans="1:7" ht="17.25" customHeight="1">
      <c r="A146" s="208" t="s">
        <v>14</v>
      </c>
      <c r="B146" s="126">
        <f>B140+B145</f>
        <v>12</v>
      </c>
      <c r="C146" s="126"/>
      <c r="D146" s="126"/>
      <c r="E146" s="126">
        <f>E140+E145</f>
        <v>1335</v>
      </c>
      <c r="F146" s="132"/>
      <c r="G146" s="132"/>
    </row>
    <row r="147" spans="1:7" ht="17.25" customHeight="1">
      <c r="A147" s="211"/>
      <c r="B147" s="127"/>
      <c r="C147" s="128"/>
      <c r="D147" s="126"/>
      <c r="E147" s="126"/>
      <c r="F147" s="132"/>
      <c r="G147" s="132"/>
    </row>
    <row r="148" spans="1:7" ht="27" customHeight="1">
      <c r="A148" s="269" t="s">
        <v>419</v>
      </c>
      <c r="B148" s="276"/>
      <c r="C148" s="276"/>
      <c r="D148" s="276"/>
      <c r="E148" s="276"/>
      <c r="F148" s="132"/>
      <c r="G148" s="132"/>
    </row>
    <row r="149" spans="1:7" ht="23.25" customHeight="1">
      <c r="A149" s="40" t="s">
        <v>212</v>
      </c>
      <c r="B149" s="40" t="s">
        <v>213</v>
      </c>
      <c r="C149" s="40" t="s">
        <v>214</v>
      </c>
      <c r="D149" s="40" t="s">
        <v>215</v>
      </c>
      <c r="E149" s="39" t="s">
        <v>216</v>
      </c>
      <c r="F149" s="132"/>
      <c r="G149" s="132"/>
    </row>
    <row r="150" spans="1:7" ht="17.25" customHeight="1">
      <c r="A150" s="273" t="s">
        <v>217</v>
      </c>
      <c r="B150" s="274"/>
      <c r="C150" s="275"/>
      <c r="D150" s="208"/>
      <c r="E150" s="211"/>
      <c r="F150" s="132"/>
      <c r="G150" s="132"/>
    </row>
    <row r="151" spans="1:7" ht="17.25" customHeight="1">
      <c r="A151" s="112">
        <v>109</v>
      </c>
      <c r="B151" s="113">
        <v>25</v>
      </c>
      <c r="C151" s="113" t="s">
        <v>218</v>
      </c>
      <c r="D151" s="40" t="s">
        <v>311</v>
      </c>
      <c r="E151" s="140">
        <v>1149</v>
      </c>
      <c r="F151" s="132"/>
      <c r="G151" s="132"/>
    </row>
    <row r="152" spans="1:7" ht="17.25" customHeight="1">
      <c r="A152" s="113">
        <v>110</v>
      </c>
      <c r="B152" s="113">
        <v>29</v>
      </c>
      <c r="C152" s="113" t="s">
        <v>218</v>
      </c>
      <c r="D152" s="40" t="s">
        <v>312</v>
      </c>
      <c r="E152" s="140">
        <v>1347</v>
      </c>
      <c r="F152" s="132"/>
      <c r="G152" s="132"/>
    </row>
    <row r="153" spans="1:7" ht="17.25" customHeight="1">
      <c r="A153" s="40"/>
      <c r="B153" s="208">
        <f>SUM(B151:B152)</f>
        <v>54</v>
      </c>
      <c r="C153" s="208"/>
      <c r="D153" s="208"/>
      <c r="E153" s="211">
        <f>SUM(E151:E152)</f>
        <v>2496</v>
      </c>
      <c r="F153" s="132"/>
      <c r="G153" s="132"/>
    </row>
    <row r="154" spans="1:7" ht="17.25" customHeight="1">
      <c r="A154" s="208" t="s">
        <v>14</v>
      </c>
      <c r="B154" s="126">
        <f>B153</f>
        <v>54</v>
      </c>
      <c r="C154" s="126"/>
      <c r="D154" s="126"/>
      <c r="E154" s="126">
        <f>E153</f>
        <v>2496</v>
      </c>
      <c r="F154" s="132"/>
      <c r="G154" s="132"/>
    </row>
    <row r="155" spans="1:7" ht="17.25" customHeight="1">
      <c r="A155" s="211"/>
      <c r="B155" s="127"/>
      <c r="C155" s="128"/>
      <c r="D155" s="126"/>
      <c r="E155" s="126"/>
      <c r="F155" s="132"/>
      <c r="G155" s="132"/>
    </row>
    <row r="156" spans="1:7" ht="27.75" customHeight="1">
      <c r="A156" s="269" t="s">
        <v>420</v>
      </c>
      <c r="B156" s="276"/>
      <c r="C156" s="276"/>
      <c r="D156" s="276"/>
      <c r="E156" s="276"/>
      <c r="F156" s="132"/>
      <c r="G156" s="132"/>
    </row>
    <row r="157" spans="1:7" ht="24.75" customHeight="1">
      <c r="A157" s="40" t="s">
        <v>212</v>
      </c>
      <c r="B157" s="40" t="s">
        <v>213</v>
      </c>
      <c r="C157" s="40" t="s">
        <v>214</v>
      </c>
      <c r="D157" s="40" t="s">
        <v>215</v>
      </c>
      <c r="E157" s="39" t="s">
        <v>216</v>
      </c>
      <c r="F157" s="132"/>
      <c r="G157" s="132"/>
    </row>
    <row r="158" spans="1:7" ht="17.25" customHeight="1">
      <c r="A158" s="273" t="s">
        <v>223</v>
      </c>
      <c r="B158" s="274"/>
      <c r="C158" s="275"/>
      <c r="D158" s="40"/>
      <c r="E158" s="39"/>
      <c r="F158" s="132"/>
      <c r="G158" s="132"/>
    </row>
    <row r="159" spans="1:7" ht="17.25" customHeight="1">
      <c r="A159" s="91">
        <v>1288</v>
      </c>
      <c r="B159" s="91">
        <v>2</v>
      </c>
      <c r="C159" s="91" t="s">
        <v>224</v>
      </c>
      <c r="D159" s="70" t="s">
        <v>313</v>
      </c>
      <c r="E159" s="91">
        <v>110</v>
      </c>
      <c r="F159" s="132"/>
      <c r="G159" s="132"/>
    </row>
    <row r="160" spans="1:7" ht="17.25" customHeight="1">
      <c r="A160" s="70">
        <v>1289</v>
      </c>
      <c r="B160" s="91">
        <v>8</v>
      </c>
      <c r="C160" s="91" t="s">
        <v>218</v>
      </c>
      <c r="D160" s="70" t="s">
        <v>314</v>
      </c>
      <c r="E160" s="70">
        <v>624</v>
      </c>
      <c r="F160" s="132"/>
      <c r="G160" s="132"/>
    </row>
    <row r="161" spans="1:7" ht="17.25" customHeight="1">
      <c r="A161" s="70">
        <v>1290</v>
      </c>
      <c r="B161" s="40">
        <v>4</v>
      </c>
      <c r="C161" s="40" t="s">
        <v>228</v>
      </c>
      <c r="D161" s="40" t="s">
        <v>315</v>
      </c>
      <c r="E161" s="40">
        <v>440</v>
      </c>
      <c r="F161" s="132"/>
      <c r="G161" s="132"/>
    </row>
    <row r="162" spans="1:7" ht="17.25" customHeight="1">
      <c r="A162" s="208"/>
      <c r="B162" s="208">
        <f>SUM(B159:B161)</f>
        <v>14</v>
      </c>
      <c r="C162" s="208"/>
      <c r="D162" s="208"/>
      <c r="E162" s="208">
        <f>SUM(E159:E161)</f>
        <v>1174</v>
      </c>
      <c r="F162" s="132"/>
      <c r="G162" s="132"/>
    </row>
    <row r="163" spans="1:7" ht="17.25" customHeight="1">
      <c r="A163" s="273" t="s">
        <v>217</v>
      </c>
      <c r="B163" s="274"/>
      <c r="C163" s="275"/>
      <c r="D163" s="208"/>
      <c r="E163" s="211"/>
      <c r="F163" s="132"/>
      <c r="G163" s="132"/>
    </row>
    <row r="164" spans="1:7" ht="17.25" customHeight="1">
      <c r="A164" s="139">
        <v>1292</v>
      </c>
      <c r="B164" s="60">
        <v>3</v>
      </c>
      <c r="C164" s="209" t="s">
        <v>241</v>
      </c>
      <c r="D164" s="40" t="s">
        <v>316</v>
      </c>
      <c r="E164" s="60">
        <v>636</v>
      </c>
      <c r="F164" s="132"/>
      <c r="G164" s="132"/>
    </row>
    <row r="165" spans="1:7" ht="17.25" customHeight="1">
      <c r="A165" s="137">
        <v>1293</v>
      </c>
      <c r="B165" s="91">
        <v>3</v>
      </c>
      <c r="C165" s="209" t="s">
        <v>245</v>
      </c>
      <c r="D165" s="40" t="s">
        <v>317</v>
      </c>
      <c r="E165" s="70">
        <v>830</v>
      </c>
      <c r="F165" s="132"/>
      <c r="G165" s="132"/>
    </row>
    <row r="166" spans="1:7" ht="17.25" customHeight="1">
      <c r="A166" s="139">
        <v>1291</v>
      </c>
      <c r="B166" s="60">
        <v>25</v>
      </c>
      <c r="C166" s="40" t="s">
        <v>218</v>
      </c>
      <c r="D166" s="40" t="s">
        <v>311</v>
      </c>
      <c r="E166" s="60">
        <v>1426</v>
      </c>
      <c r="F166" s="132"/>
      <c r="G166" s="132"/>
    </row>
    <row r="167" spans="1:7" ht="17.25" customHeight="1">
      <c r="A167" s="40"/>
      <c r="B167" s="208">
        <f>SUM(B164:B166)</f>
        <v>31</v>
      </c>
      <c r="C167" s="208"/>
      <c r="D167" s="208"/>
      <c r="E167" s="211">
        <f>SUM(E164:E166)</f>
        <v>2892</v>
      </c>
      <c r="F167" s="132"/>
      <c r="G167" s="132"/>
    </row>
    <row r="168" spans="1:7" ht="17.25" customHeight="1">
      <c r="A168" s="208" t="s">
        <v>14</v>
      </c>
      <c r="B168" s="126">
        <f>B162+B167</f>
        <v>45</v>
      </c>
      <c r="C168" s="126"/>
      <c r="D168" s="126"/>
      <c r="E168" s="126">
        <f>E162+E167</f>
        <v>4066</v>
      </c>
      <c r="F168" s="132"/>
      <c r="G168" s="132"/>
    </row>
    <row r="169" spans="1:7" ht="17.25" customHeight="1">
      <c r="A169" s="211"/>
      <c r="B169" s="127"/>
      <c r="C169" s="128"/>
      <c r="D169" s="126"/>
      <c r="E169" s="126"/>
      <c r="F169" s="132"/>
      <c r="G169" s="132"/>
    </row>
    <row r="170" spans="1:7" ht="27" customHeight="1">
      <c r="A170" s="269" t="s">
        <v>421</v>
      </c>
      <c r="B170" s="276"/>
      <c r="C170" s="276"/>
      <c r="D170" s="276"/>
      <c r="E170" s="276"/>
      <c r="F170" s="132"/>
      <c r="G170" s="132"/>
    </row>
    <row r="171" spans="1:7" ht="27" customHeight="1">
      <c r="A171" s="40" t="s">
        <v>212</v>
      </c>
      <c r="B171" s="40" t="s">
        <v>213</v>
      </c>
      <c r="C171" s="40" t="s">
        <v>214</v>
      </c>
      <c r="D171" s="40" t="s">
        <v>215</v>
      </c>
      <c r="E171" s="39" t="s">
        <v>216</v>
      </c>
      <c r="F171" s="132"/>
      <c r="G171" s="132"/>
    </row>
    <row r="172" spans="1:7" ht="17.25" customHeight="1">
      <c r="A172" s="273" t="s">
        <v>223</v>
      </c>
      <c r="B172" s="274"/>
      <c r="C172" s="275"/>
      <c r="D172" s="40"/>
      <c r="E172" s="39"/>
      <c r="F172" s="132"/>
      <c r="G172" s="132"/>
    </row>
    <row r="173" spans="1:7" ht="17.25" customHeight="1">
      <c r="A173" s="40">
        <v>1123</v>
      </c>
      <c r="B173" s="60">
        <v>4</v>
      </c>
      <c r="C173" s="60" t="s">
        <v>228</v>
      </c>
      <c r="D173" s="40" t="s">
        <v>331</v>
      </c>
      <c r="E173" s="40">
        <v>448</v>
      </c>
      <c r="F173" s="132"/>
      <c r="G173" s="132"/>
    </row>
    <row r="174" spans="1:7" ht="17.25" customHeight="1">
      <c r="A174" s="40">
        <v>1124</v>
      </c>
      <c r="B174" s="60">
        <v>2</v>
      </c>
      <c r="C174" s="60" t="s">
        <v>225</v>
      </c>
      <c r="D174" s="40" t="s">
        <v>332</v>
      </c>
      <c r="E174" s="40">
        <v>166</v>
      </c>
      <c r="F174" s="132"/>
      <c r="G174" s="132"/>
    </row>
    <row r="175" spans="1:7" ht="17.25" customHeight="1">
      <c r="A175" s="40"/>
      <c r="B175" s="208">
        <f>SUM(B173:B174)</f>
        <v>6</v>
      </c>
      <c r="C175" s="208"/>
      <c r="D175" s="208"/>
      <c r="E175" s="208">
        <f>SUM(E173:E174)</f>
        <v>614</v>
      </c>
      <c r="F175" s="132"/>
      <c r="G175" s="132"/>
    </row>
    <row r="176" spans="1:7" ht="17.25" customHeight="1">
      <c r="A176" s="273" t="s">
        <v>217</v>
      </c>
      <c r="B176" s="274"/>
      <c r="C176" s="275"/>
      <c r="D176" s="40"/>
      <c r="E176" s="39"/>
      <c r="F176" s="132"/>
      <c r="G176" s="132"/>
    </row>
    <row r="177" spans="1:7" ht="17.25" customHeight="1">
      <c r="A177" s="70">
        <v>1120</v>
      </c>
      <c r="B177" s="91">
        <v>19</v>
      </c>
      <c r="C177" s="91" t="s">
        <v>228</v>
      </c>
      <c r="D177" s="40" t="s">
        <v>333</v>
      </c>
      <c r="E177" s="70">
        <v>1957</v>
      </c>
      <c r="F177" s="132"/>
      <c r="G177" s="132"/>
    </row>
    <row r="178" spans="1:7" ht="17.25" customHeight="1">
      <c r="A178" s="40">
        <v>1121</v>
      </c>
      <c r="B178" s="40">
        <v>20</v>
      </c>
      <c r="C178" s="91" t="s">
        <v>225</v>
      </c>
      <c r="D178" s="64" t="s">
        <v>334</v>
      </c>
      <c r="E178" s="40">
        <v>1860</v>
      </c>
      <c r="F178" s="132"/>
      <c r="G178" s="132"/>
    </row>
    <row r="179" spans="1:7" ht="17.25" customHeight="1">
      <c r="A179" s="40">
        <v>1122</v>
      </c>
      <c r="B179" s="40">
        <v>12</v>
      </c>
      <c r="C179" s="91" t="s">
        <v>225</v>
      </c>
      <c r="D179" s="64" t="s">
        <v>335</v>
      </c>
      <c r="E179" s="40">
        <v>1134</v>
      </c>
      <c r="F179" s="132"/>
      <c r="G179" s="132"/>
    </row>
    <row r="180" spans="1:7" ht="17.25" customHeight="1">
      <c r="A180" s="40"/>
      <c r="B180" s="208">
        <f>SUM(B177:B179)</f>
        <v>51</v>
      </c>
      <c r="C180" s="208"/>
      <c r="D180" s="208"/>
      <c r="E180" s="211">
        <f>SUM(E177:E179)</f>
        <v>4951</v>
      </c>
      <c r="F180" s="132"/>
      <c r="G180" s="132"/>
    </row>
    <row r="181" spans="1:7" ht="17.25" customHeight="1">
      <c r="A181" s="208" t="s">
        <v>14</v>
      </c>
      <c r="B181" s="126">
        <f>B175+B180</f>
        <v>57</v>
      </c>
      <c r="C181" s="126"/>
      <c r="D181" s="126"/>
      <c r="E181" s="126">
        <f>E175+E180</f>
        <v>5565</v>
      </c>
      <c r="F181" s="132"/>
      <c r="G181" s="132"/>
    </row>
    <row r="182" spans="1:7" ht="17.25" customHeight="1">
      <c r="A182" s="211"/>
      <c r="B182" s="127"/>
      <c r="C182" s="128"/>
      <c r="D182" s="126"/>
      <c r="E182" s="126"/>
      <c r="F182" s="132"/>
      <c r="G182" s="132"/>
    </row>
    <row r="183" spans="1:7" ht="30" customHeight="1">
      <c r="A183" s="269" t="s">
        <v>300</v>
      </c>
      <c r="B183" s="276"/>
      <c r="C183" s="276"/>
      <c r="D183" s="276"/>
      <c r="E183" s="276"/>
      <c r="F183" s="132"/>
      <c r="G183" s="132"/>
    </row>
    <row r="184" spans="1:7" ht="26.25" customHeight="1">
      <c r="A184" s="40" t="s">
        <v>212</v>
      </c>
      <c r="B184" s="40" t="s">
        <v>213</v>
      </c>
      <c r="C184" s="40" t="s">
        <v>214</v>
      </c>
      <c r="D184" s="40" t="s">
        <v>215</v>
      </c>
      <c r="E184" s="39" t="s">
        <v>216</v>
      </c>
      <c r="F184" s="132"/>
      <c r="G184" s="132"/>
    </row>
    <row r="185" spans="1:7" ht="17.25" customHeight="1">
      <c r="A185" s="273" t="s">
        <v>223</v>
      </c>
      <c r="B185" s="274"/>
      <c r="C185" s="275"/>
      <c r="D185" s="40"/>
      <c r="E185" s="39"/>
      <c r="F185" s="132"/>
      <c r="G185" s="132"/>
    </row>
    <row r="186" spans="1:7" ht="28.5" customHeight="1">
      <c r="A186" s="235" t="s">
        <v>338</v>
      </c>
      <c r="B186" s="235">
        <v>20</v>
      </c>
      <c r="C186" s="235" t="s">
        <v>224</v>
      </c>
      <c r="D186" s="23" t="s">
        <v>339</v>
      </c>
      <c r="E186" s="235">
        <v>1167.1</v>
      </c>
      <c r="F186" s="132"/>
      <c r="G186" s="132"/>
    </row>
    <row r="187" spans="1:7" ht="26.25" customHeight="1">
      <c r="A187" s="235" t="s">
        <v>340</v>
      </c>
      <c r="B187" s="235">
        <v>18</v>
      </c>
      <c r="C187" s="235" t="s">
        <v>218</v>
      </c>
      <c r="D187" s="23" t="s">
        <v>341</v>
      </c>
      <c r="E187" s="235">
        <v>1439.55</v>
      </c>
      <c r="F187" s="132"/>
      <c r="G187" s="132"/>
    </row>
    <row r="188" spans="1:7" ht="24" customHeight="1">
      <c r="A188" s="235" t="s">
        <v>342</v>
      </c>
      <c r="B188" s="235">
        <v>7</v>
      </c>
      <c r="C188" s="235" t="s">
        <v>228</v>
      </c>
      <c r="D188" s="23" t="s">
        <v>343</v>
      </c>
      <c r="E188" s="235">
        <v>735</v>
      </c>
      <c r="F188" s="132"/>
      <c r="G188" s="132"/>
    </row>
    <row r="189" spans="1:7" ht="24" customHeight="1">
      <c r="A189" s="235" t="s">
        <v>344</v>
      </c>
      <c r="B189" s="235">
        <v>10</v>
      </c>
      <c r="C189" s="235" t="s">
        <v>224</v>
      </c>
      <c r="D189" s="23" t="s">
        <v>345</v>
      </c>
      <c r="E189" s="235">
        <v>579.7</v>
      </c>
      <c r="F189" s="132"/>
      <c r="G189" s="132"/>
    </row>
    <row r="190" spans="1:7" ht="17.25" customHeight="1">
      <c r="A190" s="40"/>
      <c r="B190" s="208">
        <f>SUM(B186:B189)</f>
        <v>55</v>
      </c>
      <c r="C190" s="208"/>
      <c r="D190" s="208"/>
      <c r="E190" s="208">
        <f>SUM(E186:E189)</f>
        <v>3921.3499999999995</v>
      </c>
      <c r="F190" s="132"/>
      <c r="G190" s="132"/>
    </row>
    <row r="191" spans="1:7" ht="17.25" customHeight="1">
      <c r="A191" s="273" t="s">
        <v>217</v>
      </c>
      <c r="B191" s="274"/>
      <c r="C191" s="275"/>
      <c r="D191" s="40"/>
      <c r="E191" s="39"/>
      <c r="F191" s="132"/>
      <c r="G191" s="132"/>
    </row>
    <row r="192" spans="1:8" ht="17.25" customHeight="1">
      <c r="A192" s="60" t="s">
        <v>346</v>
      </c>
      <c r="B192" s="60">
        <v>18</v>
      </c>
      <c r="C192" s="40" t="s">
        <v>224</v>
      </c>
      <c r="D192" s="40" t="s">
        <v>347</v>
      </c>
      <c r="E192" s="60">
        <v>1075</v>
      </c>
      <c r="F192" s="132"/>
      <c r="G192" s="132"/>
      <c r="H192" s="99">
        <f>B192+B199</f>
        <v>26</v>
      </c>
    </row>
    <row r="193" spans="1:8" ht="17.25" customHeight="1">
      <c r="A193" s="60" t="s">
        <v>348</v>
      </c>
      <c r="B193" s="60">
        <v>8</v>
      </c>
      <c r="C193" s="209" t="s">
        <v>349</v>
      </c>
      <c r="D193" s="40" t="s">
        <v>350</v>
      </c>
      <c r="E193" s="40">
        <v>1046.4</v>
      </c>
      <c r="F193" s="132"/>
      <c r="G193" s="132"/>
      <c r="H193" s="99">
        <f>B196+B198</f>
        <v>26</v>
      </c>
    </row>
    <row r="194" spans="1:8" ht="17.25" customHeight="1">
      <c r="A194" s="60" t="s">
        <v>351</v>
      </c>
      <c r="B194" s="60">
        <v>3</v>
      </c>
      <c r="C194" s="209" t="s">
        <v>245</v>
      </c>
      <c r="D194" s="40" t="s">
        <v>352</v>
      </c>
      <c r="E194" s="60">
        <v>790</v>
      </c>
      <c r="F194" s="132"/>
      <c r="G194" s="132"/>
      <c r="H194" s="99">
        <f>B197</f>
        <v>1</v>
      </c>
    </row>
    <row r="195" spans="1:7" ht="17.25" customHeight="1">
      <c r="A195" s="60" t="s">
        <v>353</v>
      </c>
      <c r="B195" s="60">
        <v>2</v>
      </c>
      <c r="C195" s="209" t="s">
        <v>232</v>
      </c>
      <c r="D195" s="40" t="s">
        <v>354</v>
      </c>
      <c r="E195" s="60">
        <v>185</v>
      </c>
      <c r="F195" s="132"/>
      <c r="G195" s="132"/>
    </row>
    <row r="196" spans="1:7" ht="17.25" customHeight="1">
      <c r="A196" s="60" t="s">
        <v>355</v>
      </c>
      <c r="B196" s="60">
        <v>20</v>
      </c>
      <c r="C196" s="40" t="s">
        <v>218</v>
      </c>
      <c r="D196" s="40" t="s">
        <v>356</v>
      </c>
      <c r="E196" s="60">
        <v>1218</v>
      </c>
      <c r="F196" s="132"/>
      <c r="G196" s="132"/>
    </row>
    <row r="197" spans="1:7" ht="17.25" customHeight="1">
      <c r="A197" s="60" t="s">
        <v>357</v>
      </c>
      <c r="B197" s="60">
        <v>1</v>
      </c>
      <c r="C197" s="40" t="s">
        <v>237</v>
      </c>
      <c r="D197" s="40" t="s">
        <v>358</v>
      </c>
      <c r="E197" s="60">
        <v>75</v>
      </c>
      <c r="F197" s="132"/>
      <c r="G197" s="132"/>
    </row>
    <row r="198" spans="1:7" ht="17.25" customHeight="1">
      <c r="A198" s="60" t="s">
        <v>359</v>
      </c>
      <c r="B198" s="60">
        <v>6</v>
      </c>
      <c r="C198" s="40" t="s">
        <v>364</v>
      </c>
      <c r="D198" s="40" t="s">
        <v>360</v>
      </c>
      <c r="E198" s="60">
        <v>366</v>
      </c>
      <c r="F198" s="132"/>
      <c r="G198" s="132"/>
    </row>
    <row r="199" spans="1:7" ht="17.25" customHeight="1">
      <c r="A199" s="60" t="s">
        <v>361</v>
      </c>
      <c r="B199" s="60">
        <v>8</v>
      </c>
      <c r="C199" s="40" t="s">
        <v>362</v>
      </c>
      <c r="D199" s="40" t="s">
        <v>363</v>
      </c>
      <c r="E199" s="60">
        <v>345</v>
      </c>
      <c r="F199" s="132"/>
      <c r="G199" s="132"/>
    </row>
    <row r="200" spans="1:7" ht="17.25" customHeight="1">
      <c r="A200" s="40"/>
      <c r="B200" s="208">
        <f>SUM(B192:B199)</f>
        <v>66</v>
      </c>
      <c r="C200" s="208"/>
      <c r="D200" s="208"/>
      <c r="E200" s="211">
        <f>SUM(E192:E199)</f>
        <v>5100.4</v>
      </c>
      <c r="F200" s="132"/>
      <c r="G200" s="132"/>
    </row>
    <row r="201" spans="1:7" ht="17.25" customHeight="1">
      <c r="A201" s="208" t="s">
        <v>14</v>
      </c>
      <c r="B201" s="126">
        <f>B190+B200</f>
        <v>121</v>
      </c>
      <c r="C201" s="126"/>
      <c r="D201" s="126"/>
      <c r="E201" s="126">
        <f>E190+E200</f>
        <v>9021.75</v>
      </c>
      <c r="F201" s="132"/>
      <c r="G201" s="132"/>
    </row>
    <row r="202" spans="1:7" ht="17.25" customHeight="1">
      <c r="A202" s="211"/>
      <c r="B202" s="127"/>
      <c r="C202" s="128"/>
      <c r="D202" s="126"/>
      <c r="E202" s="126"/>
      <c r="F202" s="132"/>
      <c r="G202" s="132"/>
    </row>
    <row r="203" spans="1:7" ht="28.5" customHeight="1">
      <c r="A203" s="269" t="s">
        <v>422</v>
      </c>
      <c r="B203" s="276"/>
      <c r="C203" s="276"/>
      <c r="D203" s="276"/>
      <c r="E203" s="276"/>
      <c r="F203" s="132"/>
      <c r="G203" s="132"/>
    </row>
    <row r="204" spans="1:7" ht="24.75" customHeight="1">
      <c r="A204" s="40" t="s">
        <v>212</v>
      </c>
      <c r="B204" s="40" t="s">
        <v>213</v>
      </c>
      <c r="C204" s="40" t="s">
        <v>214</v>
      </c>
      <c r="D204" s="40" t="s">
        <v>215</v>
      </c>
      <c r="E204" s="39" t="s">
        <v>216</v>
      </c>
      <c r="F204" s="132"/>
      <c r="G204" s="132"/>
    </row>
    <row r="205" spans="1:7" ht="17.25" customHeight="1">
      <c r="A205" s="273" t="s">
        <v>223</v>
      </c>
      <c r="B205" s="274"/>
      <c r="C205" s="275"/>
      <c r="D205" s="40"/>
      <c r="E205" s="39"/>
      <c r="F205" s="132"/>
      <c r="G205" s="132"/>
    </row>
    <row r="206" spans="1:7" ht="17.25" customHeight="1">
      <c r="A206" s="70">
        <v>760</v>
      </c>
      <c r="B206" s="40">
        <v>1</v>
      </c>
      <c r="C206" s="40" t="s">
        <v>225</v>
      </c>
      <c r="D206" s="40" t="s">
        <v>365</v>
      </c>
      <c r="E206" s="40">
        <v>70</v>
      </c>
      <c r="F206" s="132"/>
      <c r="G206" s="132"/>
    </row>
    <row r="207" spans="1:7" ht="17.25" customHeight="1">
      <c r="A207" s="40">
        <v>761</v>
      </c>
      <c r="B207" s="40">
        <v>5</v>
      </c>
      <c r="C207" s="40" t="s">
        <v>228</v>
      </c>
      <c r="D207" s="40" t="s">
        <v>366</v>
      </c>
      <c r="E207" s="40">
        <v>519</v>
      </c>
      <c r="F207" s="132"/>
      <c r="G207" s="132"/>
    </row>
    <row r="208" spans="1:7" ht="17.25" customHeight="1">
      <c r="A208" s="40"/>
      <c r="B208" s="208">
        <f>SUM(B206:B207)</f>
        <v>6</v>
      </c>
      <c r="C208" s="208"/>
      <c r="D208" s="208"/>
      <c r="E208" s="208">
        <f>SUM(E206:E207)</f>
        <v>589</v>
      </c>
      <c r="F208" s="132"/>
      <c r="G208" s="132"/>
    </row>
    <row r="209" spans="1:7" ht="17.25" customHeight="1">
      <c r="A209" s="273" t="s">
        <v>217</v>
      </c>
      <c r="B209" s="274"/>
      <c r="C209" s="275"/>
      <c r="D209" s="40"/>
      <c r="E209" s="39"/>
      <c r="F209" s="132"/>
      <c r="G209" s="132"/>
    </row>
    <row r="210" spans="1:7" ht="27" customHeight="1">
      <c r="A210" s="40">
        <v>764</v>
      </c>
      <c r="B210" s="60">
        <v>20</v>
      </c>
      <c r="C210" s="133" t="s">
        <v>349</v>
      </c>
      <c r="D210" s="40" t="s">
        <v>368</v>
      </c>
      <c r="E210" s="40">
        <v>2158</v>
      </c>
      <c r="F210" s="132"/>
      <c r="G210" s="132"/>
    </row>
    <row r="211" spans="1:7" ht="17.25" customHeight="1">
      <c r="A211" s="45">
        <v>762</v>
      </c>
      <c r="B211" s="45">
        <v>8</v>
      </c>
      <c r="C211" s="45" t="s">
        <v>218</v>
      </c>
      <c r="D211" s="40" t="s">
        <v>363</v>
      </c>
      <c r="E211" s="45">
        <v>583</v>
      </c>
      <c r="F211" s="132"/>
      <c r="G211" s="132"/>
    </row>
    <row r="212" spans="1:7" ht="17.25" customHeight="1">
      <c r="A212" s="45">
        <v>763</v>
      </c>
      <c r="B212" s="45">
        <v>2</v>
      </c>
      <c r="C212" s="45" t="s">
        <v>237</v>
      </c>
      <c r="D212" s="40" t="s">
        <v>367</v>
      </c>
      <c r="E212" s="45">
        <v>162</v>
      </c>
      <c r="F212" s="132"/>
      <c r="G212" s="132"/>
    </row>
    <row r="213" spans="1:7" ht="17.25" customHeight="1">
      <c r="A213" s="40"/>
      <c r="B213" s="208">
        <f>SUM(B210:B212)</f>
        <v>30</v>
      </c>
      <c r="C213" s="208"/>
      <c r="D213" s="208"/>
      <c r="E213" s="211">
        <f>SUM(E210:E212)</f>
        <v>2903</v>
      </c>
      <c r="F213" s="132"/>
      <c r="G213" s="132"/>
    </row>
    <row r="214" spans="1:7" ht="17.25" customHeight="1">
      <c r="A214" s="208" t="s">
        <v>14</v>
      </c>
      <c r="B214" s="126">
        <f>B208+B213</f>
        <v>36</v>
      </c>
      <c r="C214" s="126"/>
      <c r="D214" s="126"/>
      <c r="E214" s="126">
        <f>E208+E213</f>
        <v>3492</v>
      </c>
      <c r="F214" s="132"/>
      <c r="G214" s="132"/>
    </row>
    <row r="215" spans="1:7" ht="17.25" customHeight="1">
      <c r="A215" s="211"/>
      <c r="B215" s="127"/>
      <c r="C215" s="128"/>
      <c r="D215" s="126"/>
      <c r="E215" s="126"/>
      <c r="F215" s="132"/>
      <c r="G215" s="132"/>
    </row>
    <row r="216" spans="1:7" ht="26.25" customHeight="1">
      <c r="A216" s="269" t="s">
        <v>423</v>
      </c>
      <c r="B216" s="276"/>
      <c r="C216" s="276"/>
      <c r="D216" s="276"/>
      <c r="E216" s="276"/>
      <c r="F216" s="132"/>
      <c r="G216" s="132"/>
    </row>
    <row r="217" spans="1:7" ht="26.25" customHeight="1">
      <c r="A217" s="40" t="s">
        <v>212</v>
      </c>
      <c r="B217" s="40" t="s">
        <v>213</v>
      </c>
      <c r="C217" s="40" t="s">
        <v>214</v>
      </c>
      <c r="D217" s="40" t="s">
        <v>215</v>
      </c>
      <c r="E217" s="39" t="s">
        <v>216</v>
      </c>
      <c r="F217" s="132"/>
      <c r="G217" s="132"/>
    </row>
    <row r="218" spans="1:7" ht="17.25" customHeight="1">
      <c r="A218" s="273" t="s">
        <v>223</v>
      </c>
      <c r="B218" s="274"/>
      <c r="C218" s="275"/>
      <c r="D218" s="40"/>
      <c r="E218" s="39"/>
      <c r="F218" s="132"/>
      <c r="G218" s="132"/>
    </row>
    <row r="219" spans="1:7" ht="17.25" customHeight="1">
      <c r="A219" s="60">
        <v>434</v>
      </c>
      <c r="B219" s="60">
        <v>5</v>
      </c>
      <c r="C219" s="60" t="s">
        <v>228</v>
      </c>
      <c r="D219" s="91" t="s">
        <v>369</v>
      </c>
      <c r="E219" s="60">
        <v>540</v>
      </c>
      <c r="F219" s="132"/>
      <c r="G219" s="132"/>
    </row>
    <row r="220" spans="1:7" ht="17.25" customHeight="1">
      <c r="A220" s="60">
        <v>434</v>
      </c>
      <c r="B220" s="60">
        <v>1</v>
      </c>
      <c r="C220" s="60" t="s">
        <v>225</v>
      </c>
      <c r="D220" s="45" t="s">
        <v>370</v>
      </c>
      <c r="E220" s="60">
        <v>85</v>
      </c>
      <c r="F220" s="132"/>
      <c r="G220" s="132"/>
    </row>
    <row r="221" spans="1:7" ht="17.25" customHeight="1">
      <c r="A221" s="40"/>
      <c r="B221" s="208">
        <f>SUM(B219:B220)</f>
        <v>6</v>
      </c>
      <c r="C221" s="208"/>
      <c r="D221" s="208"/>
      <c r="E221" s="208">
        <f>SUM(E219:E220)</f>
        <v>625</v>
      </c>
      <c r="F221" s="132"/>
      <c r="G221" s="132"/>
    </row>
    <row r="222" spans="1:7" ht="17.25" customHeight="1">
      <c r="A222" s="273" t="s">
        <v>217</v>
      </c>
      <c r="B222" s="274"/>
      <c r="C222" s="275"/>
      <c r="D222" s="40"/>
      <c r="E222" s="39"/>
      <c r="F222" s="132"/>
      <c r="G222" s="132"/>
    </row>
    <row r="223" spans="1:7" ht="17.25" customHeight="1">
      <c r="A223" s="40">
        <v>436</v>
      </c>
      <c r="B223" s="192">
        <v>1</v>
      </c>
      <c r="C223" s="209" t="s">
        <v>232</v>
      </c>
      <c r="D223" s="192" t="s">
        <v>371</v>
      </c>
      <c r="E223" s="192">
        <v>124</v>
      </c>
      <c r="F223" s="132"/>
      <c r="G223" s="132"/>
    </row>
    <row r="224" spans="1:7" ht="17.25" customHeight="1">
      <c r="A224" s="60">
        <v>435</v>
      </c>
      <c r="B224" s="217">
        <v>1</v>
      </c>
      <c r="C224" s="217" t="s">
        <v>225</v>
      </c>
      <c r="D224" s="106" t="s">
        <v>358</v>
      </c>
      <c r="E224" s="218">
        <v>60</v>
      </c>
      <c r="F224" s="132"/>
      <c r="G224" s="132"/>
    </row>
    <row r="225" spans="1:7" ht="17.25" customHeight="1">
      <c r="A225" s="40">
        <v>435</v>
      </c>
      <c r="B225" s="192">
        <v>5</v>
      </c>
      <c r="C225" s="192" t="s">
        <v>228</v>
      </c>
      <c r="D225" s="106" t="s">
        <v>373</v>
      </c>
      <c r="E225" s="192">
        <v>450</v>
      </c>
      <c r="F225" s="132"/>
      <c r="G225" s="132"/>
    </row>
    <row r="226" spans="1:7" ht="17.25" customHeight="1">
      <c r="A226" s="40">
        <v>435</v>
      </c>
      <c r="B226" s="192">
        <v>2</v>
      </c>
      <c r="C226" s="209" t="s">
        <v>232</v>
      </c>
      <c r="D226" s="192" t="s">
        <v>372</v>
      </c>
      <c r="E226" s="192">
        <v>225</v>
      </c>
      <c r="F226" s="132"/>
      <c r="G226" s="132"/>
    </row>
    <row r="227" spans="1:7" ht="17.25" customHeight="1">
      <c r="A227" s="40"/>
      <c r="B227" s="208">
        <f>SUM(B223:B226)</f>
        <v>9</v>
      </c>
      <c r="C227" s="208"/>
      <c r="D227" s="208"/>
      <c r="E227" s="211">
        <f>SUM(E223:E226)</f>
        <v>859</v>
      </c>
      <c r="F227" s="132"/>
      <c r="G227" s="132"/>
    </row>
    <row r="228" spans="1:7" ht="17.25" customHeight="1">
      <c r="A228" s="208" t="s">
        <v>14</v>
      </c>
      <c r="B228" s="126">
        <f>B221+B227</f>
        <v>15</v>
      </c>
      <c r="C228" s="126"/>
      <c r="D228" s="126"/>
      <c r="E228" s="126">
        <f>E221+E227</f>
        <v>1484</v>
      </c>
      <c r="F228" s="132"/>
      <c r="G228" s="132"/>
    </row>
    <row r="229" spans="1:7" ht="17.25" customHeight="1">
      <c r="A229" s="211"/>
      <c r="B229" s="127"/>
      <c r="C229" s="128"/>
      <c r="D229" s="126"/>
      <c r="E229" s="126"/>
      <c r="F229" s="132"/>
      <c r="G229" s="132"/>
    </row>
    <row r="230" spans="1:7" ht="27" customHeight="1">
      <c r="A230" s="269" t="s">
        <v>424</v>
      </c>
      <c r="B230" s="276"/>
      <c r="C230" s="276"/>
      <c r="D230" s="276"/>
      <c r="E230" s="276"/>
      <c r="F230" s="132"/>
      <c r="G230" s="132"/>
    </row>
    <row r="231" spans="1:7" ht="23.25" customHeight="1">
      <c r="A231" s="40" t="s">
        <v>212</v>
      </c>
      <c r="B231" s="40" t="s">
        <v>213</v>
      </c>
      <c r="C231" s="40" t="s">
        <v>214</v>
      </c>
      <c r="D231" s="40" t="s">
        <v>215</v>
      </c>
      <c r="E231" s="39" t="s">
        <v>216</v>
      </c>
      <c r="F231" s="132"/>
      <c r="G231" s="132"/>
    </row>
    <row r="232" spans="1:7" ht="17.25" customHeight="1">
      <c r="A232" s="273" t="s">
        <v>223</v>
      </c>
      <c r="B232" s="274"/>
      <c r="C232" s="275"/>
      <c r="D232" s="40"/>
      <c r="E232" s="39"/>
      <c r="F232" s="132"/>
      <c r="G232" s="132"/>
    </row>
    <row r="233" spans="1:7" ht="17.25" customHeight="1">
      <c r="A233" s="40">
        <v>1002</v>
      </c>
      <c r="B233" s="40">
        <v>4</v>
      </c>
      <c r="C233" s="40" t="s">
        <v>237</v>
      </c>
      <c r="D233" s="40" t="s">
        <v>374</v>
      </c>
      <c r="E233" s="40">
        <v>426</v>
      </c>
      <c r="F233" s="132"/>
      <c r="G233" s="132"/>
    </row>
    <row r="234" spans="1:7" ht="17.25" customHeight="1">
      <c r="A234" s="40">
        <v>1006</v>
      </c>
      <c r="B234" s="40">
        <v>1</v>
      </c>
      <c r="C234" s="40" t="s">
        <v>218</v>
      </c>
      <c r="D234" s="40" t="s">
        <v>375</v>
      </c>
      <c r="E234" s="40">
        <v>72</v>
      </c>
      <c r="F234" s="132"/>
      <c r="G234" s="132"/>
    </row>
    <row r="235" spans="1:7" ht="17.25" customHeight="1">
      <c r="A235" s="40">
        <v>1007</v>
      </c>
      <c r="B235" s="40">
        <v>2</v>
      </c>
      <c r="C235" s="40" t="s">
        <v>237</v>
      </c>
      <c r="D235" s="40" t="s">
        <v>376</v>
      </c>
      <c r="E235" s="40">
        <v>213</v>
      </c>
      <c r="F235" s="132"/>
      <c r="G235" s="132"/>
    </row>
    <row r="236" spans="1:7" ht="17.25" customHeight="1">
      <c r="A236" s="40"/>
      <c r="B236" s="208">
        <f>SUM(B233:B235)</f>
        <v>7</v>
      </c>
      <c r="C236" s="208"/>
      <c r="D236" s="208"/>
      <c r="E236" s="208">
        <f>SUM(E233:E235)</f>
        <v>711</v>
      </c>
      <c r="F236" s="132"/>
      <c r="G236" s="132"/>
    </row>
    <row r="237" spans="1:7" ht="17.25" customHeight="1">
      <c r="A237" s="273" t="s">
        <v>217</v>
      </c>
      <c r="B237" s="274"/>
      <c r="C237" s="275"/>
      <c r="D237" s="40"/>
      <c r="E237" s="39"/>
      <c r="F237" s="132"/>
      <c r="G237" s="132"/>
    </row>
    <row r="238" spans="1:8" ht="17.25" customHeight="1">
      <c r="A238" s="70">
        <v>1003</v>
      </c>
      <c r="B238" s="91">
        <v>27</v>
      </c>
      <c r="C238" s="70" t="s">
        <v>218</v>
      </c>
      <c r="D238" s="40" t="s">
        <v>377</v>
      </c>
      <c r="E238" s="70">
        <v>2471</v>
      </c>
      <c r="F238" s="132"/>
      <c r="G238" s="141">
        <f>B238+B239+B241+B242</f>
        <v>41</v>
      </c>
      <c r="H238" s="99">
        <f>B238+B239+B241+B242</f>
        <v>41</v>
      </c>
    </row>
    <row r="239" spans="1:8" ht="17.25" customHeight="1">
      <c r="A239" s="70">
        <v>1004</v>
      </c>
      <c r="B239" s="91">
        <v>3</v>
      </c>
      <c r="C239" s="70" t="s">
        <v>218</v>
      </c>
      <c r="D239" s="40" t="s">
        <v>378</v>
      </c>
      <c r="E239" s="70">
        <v>264</v>
      </c>
      <c r="F239" s="132"/>
      <c r="G239" s="132"/>
      <c r="H239" s="99">
        <f>B240+B243</f>
        <v>2</v>
      </c>
    </row>
    <row r="240" spans="1:7" ht="17.25" customHeight="1">
      <c r="A240" s="70">
        <v>1005</v>
      </c>
      <c r="B240" s="91">
        <v>1</v>
      </c>
      <c r="C240" s="70" t="s">
        <v>228</v>
      </c>
      <c r="D240" s="40" t="s">
        <v>358</v>
      </c>
      <c r="E240" s="70">
        <v>100</v>
      </c>
      <c r="F240" s="132"/>
      <c r="G240" s="132"/>
    </row>
    <row r="241" spans="1:7" ht="17.25" customHeight="1">
      <c r="A241" s="70">
        <v>1009</v>
      </c>
      <c r="B241" s="91">
        <v>8</v>
      </c>
      <c r="C241" s="70" t="s">
        <v>218</v>
      </c>
      <c r="D241" s="40" t="s">
        <v>363</v>
      </c>
      <c r="E241" s="70">
        <v>734</v>
      </c>
      <c r="F241" s="132"/>
      <c r="G241" s="132"/>
    </row>
    <row r="242" spans="1:7" ht="17.25" customHeight="1">
      <c r="A242" s="70">
        <v>1010</v>
      </c>
      <c r="B242" s="91">
        <v>3</v>
      </c>
      <c r="C242" s="70" t="s">
        <v>218</v>
      </c>
      <c r="D242" s="40" t="s">
        <v>378</v>
      </c>
      <c r="E242" s="70">
        <v>254</v>
      </c>
      <c r="F242" s="132"/>
      <c r="G242" s="132"/>
    </row>
    <row r="243" spans="1:7" ht="17.25" customHeight="1">
      <c r="A243" s="70">
        <v>1011</v>
      </c>
      <c r="B243" s="91">
        <v>1</v>
      </c>
      <c r="C243" s="70" t="s">
        <v>237</v>
      </c>
      <c r="D243" s="40" t="s">
        <v>358</v>
      </c>
      <c r="E243" s="70">
        <v>100</v>
      </c>
      <c r="F243" s="132"/>
      <c r="G243" s="132"/>
    </row>
    <row r="244" spans="1:7" ht="17.25" customHeight="1">
      <c r="A244" s="40"/>
      <c r="B244" s="208">
        <f>SUM(B238:B243)</f>
        <v>43</v>
      </c>
      <c r="C244" s="208"/>
      <c r="D244" s="208"/>
      <c r="E244" s="211">
        <f>SUM(E238:E243)</f>
        <v>3923</v>
      </c>
      <c r="F244" s="132"/>
      <c r="G244" s="132"/>
    </row>
    <row r="245" spans="1:7" ht="17.25" customHeight="1">
      <c r="A245" s="273" t="s">
        <v>230</v>
      </c>
      <c r="B245" s="274"/>
      <c r="C245" s="275"/>
      <c r="D245" s="208"/>
      <c r="E245" s="211"/>
      <c r="F245" s="132"/>
      <c r="G245" s="132"/>
    </row>
    <row r="246" spans="1:7" ht="17.25" customHeight="1">
      <c r="A246" s="70">
        <v>1008</v>
      </c>
      <c r="B246" s="91">
        <v>1</v>
      </c>
      <c r="C246" s="70" t="s">
        <v>218</v>
      </c>
      <c r="D246" s="40" t="s">
        <v>358</v>
      </c>
      <c r="E246" s="70">
        <v>45</v>
      </c>
      <c r="F246" s="132"/>
      <c r="G246" s="132"/>
    </row>
    <row r="247" spans="1:7" ht="17.25" customHeight="1">
      <c r="A247" s="40"/>
      <c r="B247" s="208">
        <f>B246</f>
        <v>1</v>
      </c>
      <c r="C247" s="208"/>
      <c r="D247" s="208"/>
      <c r="E247" s="208">
        <f>E246</f>
        <v>45</v>
      </c>
      <c r="F247" s="132"/>
      <c r="G247" s="132"/>
    </row>
    <row r="248" spans="1:7" ht="17.25" customHeight="1">
      <c r="A248" s="208" t="s">
        <v>14</v>
      </c>
      <c r="B248" s="126">
        <f>B236+B244+B247</f>
        <v>51</v>
      </c>
      <c r="C248" s="126"/>
      <c r="D248" s="126"/>
      <c r="E248" s="126">
        <f>E236+E244+E247</f>
        <v>4679</v>
      </c>
      <c r="F248" s="132"/>
      <c r="G248" s="132"/>
    </row>
    <row r="249" spans="1:7" ht="17.25" customHeight="1">
      <c r="A249" s="211"/>
      <c r="B249" s="127"/>
      <c r="C249" s="128"/>
      <c r="D249" s="126"/>
      <c r="E249" s="126"/>
      <c r="F249" s="132"/>
      <c r="G249" s="132"/>
    </row>
    <row r="250" spans="1:7" ht="25.5" customHeight="1">
      <c r="A250" s="269" t="s">
        <v>425</v>
      </c>
      <c r="B250" s="276"/>
      <c r="C250" s="276"/>
      <c r="D250" s="276"/>
      <c r="E250" s="276"/>
      <c r="F250" s="132"/>
      <c r="G250" s="132"/>
    </row>
    <row r="251" spans="1:7" ht="22.5" customHeight="1">
      <c r="A251" s="40" t="s">
        <v>212</v>
      </c>
      <c r="B251" s="40" t="s">
        <v>213</v>
      </c>
      <c r="C251" s="40" t="s">
        <v>214</v>
      </c>
      <c r="D251" s="40" t="s">
        <v>215</v>
      </c>
      <c r="E251" s="39" t="s">
        <v>216</v>
      </c>
      <c r="F251" s="132"/>
      <c r="G251" s="132"/>
    </row>
    <row r="252" spans="1:7" ht="17.25" customHeight="1">
      <c r="A252" s="273" t="s">
        <v>223</v>
      </c>
      <c r="B252" s="274"/>
      <c r="C252" s="275"/>
      <c r="D252" s="40"/>
      <c r="E252" s="39"/>
      <c r="F252" s="132"/>
      <c r="G252" s="132"/>
    </row>
    <row r="253" spans="1:7" ht="17.25" customHeight="1">
      <c r="A253" s="70" t="s">
        <v>405</v>
      </c>
      <c r="B253" s="91">
        <v>5</v>
      </c>
      <c r="C253" s="91" t="s">
        <v>224</v>
      </c>
      <c r="D253" s="91" t="s">
        <v>395</v>
      </c>
      <c r="E253" s="70">
        <v>303</v>
      </c>
      <c r="F253" s="132"/>
      <c r="G253" s="132"/>
    </row>
    <row r="254" spans="1:7" ht="17.25" customHeight="1">
      <c r="A254" s="40" t="s">
        <v>406</v>
      </c>
      <c r="B254" s="40">
        <v>12</v>
      </c>
      <c r="C254" s="40" t="s">
        <v>225</v>
      </c>
      <c r="D254" s="40" t="s">
        <v>396</v>
      </c>
      <c r="E254" s="40">
        <v>941</v>
      </c>
      <c r="F254" s="132"/>
      <c r="G254" s="132"/>
    </row>
    <row r="255" spans="1:7" ht="17.25" customHeight="1">
      <c r="A255" s="40" t="s">
        <v>407</v>
      </c>
      <c r="B255" s="40">
        <v>4</v>
      </c>
      <c r="C255" s="40" t="s">
        <v>228</v>
      </c>
      <c r="D255" s="40" t="s">
        <v>402</v>
      </c>
      <c r="E255" s="40">
        <v>422</v>
      </c>
      <c r="F255" s="132"/>
      <c r="G255" s="132"/>
    </row>
    <row r="256" spans="1:7" ht="17.25" customHeight="1">
      <c r="A256" s="40"/>
      <c r="B256" s="208">
        <f>SUM(B253:B255)</f>
        <v>21</v>
      </c>
      <c r="C256" s="208"/>
      <c r="D256" s="208"/>
      <c r="E256" s="208">
        <f>SUM(E253:E255)</f>
        <v>1666</v>
      </c>
      <c r="F256" s="132"/>
      <c r="G256" s="132"/>
    </row>
    <row r="257" spans="1:7" ht="17.25" customHeight="1">
      <c r="A257" s="273" t="s">
        <v>217</v>
      </c>
      <c r="B257" s="274"/>
      <c r="C257" s="275"/>
      <c r="D257" s="40"/>
      <c r="E257" s="39"/>
      <c r="F257" s="132"/>
      <c r="G257" s="132"/>
    </row>
    <row r="258" spans="1:7" ht="17.25" customHeight="1">
      <c r="A258" s="70" t="s">
        <v>408</v>
      </c>
      <c r="B258" s="219">
        <v>11</v>
      </c>
      <c r="C258" s="107" t="s">
        <v>224</v>
      </c>
      <c r="D258" s="219" t="s">
        <v>397</v>
      </c>
      <c r="E258" s="107">
        <v>562</v>
      </c>
      <c r="F258" s="132"/>
      <c r="G258" s="132"/>
    </row>
    <row r="259" spans="1:7" ht="17.25" customHeight="1">
      <c r="A259" s="40" t="s">
        <v>413</v>
      </c>
      <c r="B259" s="106">
        <v>4</v>
      </c>
      <c r="C259" s="209" t="s">
        <v>241</v>
      </c>
      <c r="D259" s="106" t="s">
        <v>398</v>
      </c>
      <c r="E259" s="106">
        <v>882</v>
      </c>
      <c r="F259" s="132"/>
      <c r="G259" s="132"/>
    </row>
    <row r="260" spans="1:7" ht="17.25" customHeight="1">
      <c r="A260" s="40" t="s">
        <v>410</v>
      </c>
      <c r="B260" s="106">
        <v>3</v>
      </c>
      <c r="C260" s="209" t="s">
        <v>245</v>
      </c>
      <c r="D260" s="106" t="s">
        <v>399</v>
      </c>
      <c r="E260" s="106">
        <v>865</v>
      </c>
      <c r="F260" s="132"/>
      <c r="G260" s="132"/>
    </row>
    <row r="261" spans="1:7" ht="17.25" customHeight="1">
      <c r="A261" s="40" t="s">
        <v>411</v>
      </c>
      <c r="B261" s="106">
        <v>2</v>
      </c>
      <c r="C261" s="106" t="s">
        <v>224</v>
      </c>
      <c r="D261" s="106" t="s">
        <v>403</v>
      </c>
      <c r="E261" s="106">
        <v>105</v>
      </c>
      <c r="F261" s="132"/>
      <c r="G261" s="132"/>
    </row>
    <row r="262" spans="1:7" ht="17.25" customHeight="1">
      <c r="A262" s="40" t="s">
        <v>412</v>
      </c>
      <c r="B262" s="106">
        <v>2</v>
      </c>
      <c r="C262" s="106" t="s">
        <v>225</v>
      </c>
      <c r="D262" s="106" t="s">
        <v>404</v>
      </c>
      <c r="E262" s="106">
        <v>122</v>
      </c>
      <c r="F262" s="132"/>
      <c r="G262" s="132"/>
    </row>
    <row r="263" spans="1:7" ht="17.25" customHeight="1">
      <c r="A263" s="40"/>
      <c r="B263" s="208">
        <f>SUM(B258:B262)</f>
        <v>22</v>
      </c>
      <c r="C263" s="208"/>
      <c r="D263" s="208"/>
      <c r="E263" s="211">
        <f>SUM(E258:E262)</f>
        <v>2536</v>
      </c>
      <c r="F263" s="132"/>
      <c r="G263" s="132"/>
    </row>
    <row r="264" spans="1:7" ht="17.25" customHeight="1">
      <c r="A264" s="273" t="s">
        <v>229</v>
      </c>
      <c r="B264" s="274"/>
      <c r="C264" s="275"/>
      <c r="D264" s="208"/>
      <c r="E264" s="211"/>
      <c r="F264" s="132"/>
      <c r="G264" s="132"/>
    </row>
    <row r="265" spans="1:7" ht="17.25" customHeight="1">
      <c r="A265" s="40" t="s">
        <v>409</v>
      </c>
      <c r="B265" s="60">
        <v>3</v>
      </c>
      <c r="C265" s="60" t="s">
        <v>225</v>
      </c>
      <c r="D265" s="60" t="s">
        <v>401</v>
      </c>
      <c r="E265" s="40">
        <v>164</v>
      </c>
      <c r="F265" s="132"/>
      <c r="G265" s="132"/>
    </row>
    <row r="266" spans="1:7" ht="17.25" customHeight="1">
      <c r="A266" s="40"/>
      <c r="B266" s="208">
        <f>B265</f>
        <v>3</v>
      </c>
      <c r="C266" s="208"/>
      <c r="D266" s="208"/>
      <c r="E266" s="208">
        <f>E265</f>
        <v>164</v>
      </c>
      <c r="F266" s="132"/>
      <c r="G266" s="132"/>
    </row>
    <row r="267" spans="1:7" ht="17.25" customHeight="1">
      <c r="A267" s="273" t="s">
        <v>230</v>
      </c>
      <c r="B267" s="274"/>
      <c r="C267" s="275"/>
      <c r="D267" s="208"/>
      <c r="E267" s="208"/>
      <c r="F267" s="132"/>
      <c r="G267" s="132"/>
    </row>
    <row r="268" spans="1:7" ht="17.25" customHeight="1">
      <c r="A268" s="40" t="s">
        <v>414</v>
      </c>
      <c r="B268" s="40">
        <v>1</v>
      </c>
      <c r="C268" s="40" t="s">
        <v>225</v>
      </c>
      <c r="D268" s="40" t="s">
        <v>400</v>
      </c>
      <c r="E268" s="40">
        <v>64</v>
      </c>
      <c r="F268" s="132"/>
      <c r="G268" s="132"/>
    </row>
    <row r="269" spans="1:7" ht="17.25" customHeight="1">
      <c r="A269" s="210"/>
      <c r="B269" s="143">
        <f>B268</f>
        <v>1</v>
      </c>
      <c r="C269" s="143"/>
      <c r="D269" s="143"/>
      <c r="E269" s="143">
        <f>E268</f>
        <v>64</v>
      </c>
      <c r="F269" s="132"/>
      <c r="G269" s="132"/>
    </row>
    <row r="270" spans="1:7" ht="17.25" customHeight="1">
      <c r="A270" s="208" t="s">
        <v>14</v>
      </c>
      <c r="B270" s="126">
        <f>B256+B263+B266+B269</f>
        <v>47</v>
      </c>
      <c r="C270" s="126"/>
      <c r="D270" s="126"/>
      <c r="E270" s="126">
        <f>E256+E263+E266+E269</f>
        <v>4430</v>
      </c>
      <c r="F270" s="132"/>
      <c r="G270" s="132"/>
    </row>
    <row r="271" spans="1:7" ht="17.25" customHeight="1">
      <c r="A271" s="211"/>
      <c r="B271" s="127"/>
      <c r="C271" s="128"/>
      <c r="D271" s="126"/>
      <c r="E271" s="126"/>
      <c r="F271" s="132"/>
      <c r="G271" s="132"/>
    </row>
    <row r="272" spans="1:7" ht="32.25" customHeight="1">
      <c r="A272" s="269" t="s">
        <v>649</v>
      </c>
      <c r="B272" s="276"/>
      <c r="C272" s="276"/>
      <c r="D272" s="276"/>
      <c r="E272" s="276"/>
      <c r="F272" s="132"/>
      <c r="G272" s="132"/>
    </row>
    <row r="273" spans="1:7" ht="24" customHeight="1">
      <c r="A273" s="40" t="s">
        <v>212</v>
      </c>
      <c r="B273" s="40" t="s">
        <v>213</v>
      </c>
      <c r="C273" s="40" t="s">
        <v>214</v>
      </c>
      <c r="D273" s="40" t="s">
        <v>215</v>
      </c>
      <c r="E273" s="39" t="s">
        <v>216</v>
      </c>
      <c r="F273" s="132"/>
      <c r="G273" s="132"/>
    </row>
    <row r="274" spans="1:7" ht="17.25" customHeight="1">
      <c r="A274" s="273" t="s">
        <v>223</v>
      </c>
      <c r="B274" s="274"/>
      <c r="C274" s="275"/>
      <c r="D274" s="40"/>
      <c r="E274" s="39"/>
      <c r="F274" s="132"/>
      <c r="G274" s="132"/>
    </row>
    <row r="275" spans="1:7" ht="17.25" customHeight="1">
      <c r="A275" s="40">
        <v>904</v>
      </c>
      <c r="B275" s="60">
        <v>2</v>
      </c>
      <c r="C275" s="60" t="s">
        <v>224</v>
      </c>
      <c r="D275" s="40" t="s">
        <v>426</v>
      </c>
      <c r="E275" s="40">
        <v>119</v>
      </c>
      <c r="F275" s="132"/>
      <c r="G275" s="132"/>
    </row>
    <row r="276" spans="1:7" ht="30" customHeight="1">
      <c r="A276" s="40">
        <v>905</v>
      </c>
      <c r="B276" s="40">
        <v>24</v>
      </c>
      <c r="C276" s="40" t="s">
        <v>225</v>
      </c>
      <c r="D276" s="40" t="s">
        <v>427</v>
      </c>
      <c r="E276" s="40">
        <v>1820</v>
      </c>
      <c r="F276" s="132"/>
      <c r="G276" s="132"/>
    </row>
    <row r="277" spans="1:7" ht="17.25" customHeight="1">
      <c r="A277" s="40">
        <v>906</v>
      </c>
      <c r="B277" s="60">
        <v>5</v>
      </c>
      <c r="C277" s="60" t="s">
        <v>228</v>
      </c>
      <c r="D277" s="40" t="s">
        <v>428</v>
      </c>
      <c r="E277" s="40">
        <v>537</v>
      </c>
      <c r="F277" s="132"/>
      <c r="G277" s="132"/>
    </row>
    <row r="278" spans="1:7" ht="17.25" customHeight="1">
      <c r="A278" s="40"/>
      <c r="B278" s="208">
        <f>SUM(B275:B277)</f>
        <v>31</v>
      </c>
      <c r="C278" s="208"/>
      <c r="D278" s="208"/>
      <c r="E278" s="208">
        <f>SUM(E275:E277)</f>
        <v>2476</v>
      </c>
      <c r="F278" s="132"/>
      <c r="G278" s="132"/>
    </row>
    <row r="279" spans="1:7" ht="17.25" customHeight="1">
      <c r="A279" s="273" t="s">
        <v>217</v>
      </c>
      <c r="B279" s="274"/>
      <c r="C279" s="275"/>
      <c r="D279" s="40"/>
      <c r="E279" s="39"/>
      <c r="F279" s="132"/>
      <c r="G279" s="132"/>
    </row>
    <row r="280" spans="1:7" ht="17.25" customHeight="1">
      <c r="A280" s="40">
        <v>907</v>
      </c>
      <c r="B280" s="60">
        <v>23</v>
      </c>
      <c r="C280" s="60" t="s">
        <v>225</v>
      </c>
      <c r="D280" s="106" t="s">
        <v>429</v>
      </c>
      <c r="E280" s="40">
        <v>1238</v>
      </c>
      <c r="F280" s="132"/>
      <c r="G280" s="132"/>
    </row>
    <row r="281" spans="1:7" ht="17.25" customHeight="1">
      <c r="A281" s="40">
        <v>908</v>
      </c>
      <c r="B281" s="40">
        <v>17</v>
      </c>
      <c r="C281" s="40" t="s">
        <v>228</v>
      </c>
      <c r="D281" s="106" t="s">
        <v>430</v>
      </c>
      <c r="E281" s="40">
        <v>1399</v>
      </c>
      <c r="F281" s="132"/>
      <c r="G281" s="132"/>
    </row>
    <row r="282" spans="1:7" ht="17.25" customHeight="1">
      <c r="A282" s="40"/>
      <c r="B282" s="208">
        <f>SUM(B280:B281)</f>
        <v>40</v>
      </c>
      <c r="C282" s="208"/>
      <c r="D282" s="208"/>
      <c r="E282" s="211">
        <f>SUM(E280:E281)</f>
        <v>2637</v>
      </c>
      <c r="F282" s="132"/>
      <c r="G282" s="132"/>
    </row>
    <row r="283" spans="1:7" ht="17.25" customHeight="1">
      <c r="A283" s="208" t="s">
        <v>14</v>
      </c>
      <c r="B283" s="126">
        <f>B278+B282</f>
        <v>71</v>
      </c>
      <c r="C283" s="126"/>
      <c r="D283" s="126"/>
      <c r="E283" s="126">
        <f>E278+E282</f>
        <v>5113</v>
      </c>
      <c r="F283" s="132"/>
      <c r="G283" s="132"/>
    </row>
    <row r="284" spans="1:7" ht="17.25" customHeight="1">
      <c r="A284" s="211"/>
      <c r="B284" s="127"/>
      <c r="C284" s="128"/>
      <c r="D284" s="126"/>
      <c r="E284" s="126"/>
      <c r="F284" s="132"/>
      <c r="G284" s="132"/>
    </row>
    <row r="285" spans="1:7" ht="26.25" customHeight="1">
      <c r="A285" s="269" t="s">
        <v>650</v>
      </c>
      <c r="B285" s="276"/>
      <c r="C285" s="276"/>
      <c r="D285" s="276"/>
      <c r="E285" s="276"/>
      <c r="F285" s="132"/>
      <c r="G285" s="132"/>
    </row>
    <row r="286" spans="1:7" ht="26.25" customHeight="1">
      <c r="A286" s="40" t="s">
        <v>212</v>
      </c>
      <c r="B286" s="40" t="s">
        <v>213</v>
      </c>
      <c r="C286" s="40" t="s">
        <v>214</v>
      </c>
      <c r="D286" s="40" t="s">
        <v>215</v>
      </c>
      <c r="E286" s="39" t="s">
        <v>216</v>
      </c>
      <c r="F286" s="132"/>
      <c r="G286" s="132"/>
    </row>
    <row r="287" spans="1:7" ht="17.25" customHeight="1">
      <c r="A287" s="273" t="s">
        <v>223</v>
      </c>
      <c r="B287" s="274"/>
      <c r="C287" s="275"/>
      <c r="D287" s="40"/>
      <c r="E287" s="39"/>
      <c r="F287" s="132"/>
      <c r="G287" s="132"/>
    </row>
    <row r="288" spans="1:7" ht="30.75" customHeight="1">
      <c r="A288" s="70">
        <v>1401</v>
      </c>
      <c r="B288" s="91">
        <v>25</v>
      </c>
      <c r="C288" s="91" t="s">
        <v>224</v>
      </c>
      <c r="D288" s="70" t="s">
        <v>435</v>
      </c>
      <c r="E288" s="70">
        <v>1516</v>
      </c>
      <c r="F288" s="132"/>
      <c r="G288" s="132"/>
    </row>
    <row r="289" spans="1:7" ht="17.25" customHeight="1">
      <c r="A289" s="40"/>
      <c r="B289" s="208">
        <f>SUM(B288:B288)</f>
        <v>25</v>
      </c>
      <c r="C289" s="208"/>
      <c r="D289" s="208"/>
      <c r="E289" s="208">
        <f>SUM(E288:E288)</f>
        <v>1516</v>
      </c>
      <c r="F289" s="132"/>
      <c r="G289" s="132"/>
    </row>
    <row r="290" spans="1:7" ht="17.25" customHeight="1">
      <c r="A290" s="273" t="s">
        <v>217</v>
      </c>
      <c r="B290" s="274"/>
      <c r="C290" s="275"/>
      <c r="D290" s="40"/>
      <c r="E290" s="39"/>
      <c r="F290" s="132"/>
      <c r="G290" s="132"/>
    </row>
    <row r="291" spans="1:7" ht="17.25" customHeight="1">
      <c r="A291" s="70">
        <v>1402</v>
      </c>
      <c r="B291" s="91">
        <v>25</v>
      </c>
      <c r="C291" s="91" t="s">
        <v>224</v>
      </c>
      <c r="D291" s="70" t="s">
        <v>436</v>
      </c>
      <c r="E291" s="70">
        <v>1525</v>
      </c>
      <c r="F291" s="132"/>
      <c r="G291" s="132"/>
    </row>
    <row r="292" spans="1:7" ht="17.25" customHeight="1">
      <c r="A292" s="70">
        <v>1403</v>
      </c>
      <c r="B292" s="91">
        <v>25</v>
      </c>
      <c r="C292" s="91" t="s">
        <v>224</v>
      </c>
      <c r="D292" s="91" t="s">
        <v>437</v>
      </c>
      <c r="E292" s="70">
        <v>1525</v>
      </c>
      <c r="F292" s="132"/>
      <c r="G292" s="132"/>
    </row>
    <row r="293" spans="1:7" ht="17.25" customHeight="1">
      <c r="A293" s="70">
        <v>1404</v>
      </c>
      <c r="B293" s="91">
        <v>25</v>
      </c>
      <c r="C293" s="91" t="s">
        <v>224</v>
      </c>
      <c r="D293" s="91" t="s">
        <v>438</v>
      </c>
      <c r="E293" s="40">
        <v>1525</v>
      </c>
      <c r="F293" s="132"/>
      <c r="G293" s="132"/>
    </row>
    <row r="294" spans="1:7" ht="17.25" customHeight="1">
      <c r="A294" s="70">
        <v>1405</v>
      </c>
      <c r="B294" s="91">
        <v>25</v>
      </c>
      <c r="C294" s="91" t="s">
        <v>224</v>
      </c>
      <c r="D294" s="91" t="s">
        <v>439</v>
      </c>
      <c r="E294" s="40">
        <v>1525</v>
      </c>
      <c r="F294" s="132"/>
      <c r="G294" s="132"/>
    </row>
    <row r="295" spans="1:7" ht="17.25" customHeight="1">
      <c r="A295" s="40">
        <v>1406</v>
      </c>
      <c r="B295" s="60">
        <v>24</v>
      </c>
      <c r="C295" s="133" t="s">
        <v>440</v>
      </c>
      <c r="D295" s="40" t="s">
        <v>441</v>
      </c>
      <c r="E295" s="40">
        <v>2776</v>
      </c>
      <c r="F295" s="132"/>
      <c r="G295" s="132"/>
    </row>
    <row r="296" spans="1:7" ht="17.25" customHeight="1">
      <c r="A296" s="40"/>
      <c r="B296" s="208">
        <f>SUM(B291:B295)</f>
        <v>124</v>
      </c>
      <c r="C296" s="208"/>
      <c r="D296" s="208"/>
      <c r="E296" s="208">
        <f>SUM(E291:E295)</f>
        <v>8876</v>
      </c>
      <c r="F296" s="132"/>
      <c r="G296" s="132"/>
    </row>
    <row r="297" spans="1:7" ht="17.25" customHeight="1">
      <c r="A297" s="208" t="s">
        <v>14</v>
      </c>
      <c r="B297" s="126">
        <f>B289+B296</f>
        <v>149</v>
      </c>
      <c r="C297" s="126"/>
      <c r="D297" s="126"/>
      <c r="E297" s="126">
        <f>E289+E296</f>
        <v>10392</v>
      </c>
      <c r="F297" s="132"/>
      <c r="G297" s="132"/>
    </row>
    <row r="298" spans="1:7" ht="17.25" customHeight="1">
      <c r="A298" s="211"/>
      <c r="B298" s="127"/>
      <c r="C298" s="128"/>
      <c r="D298" s="126"/>
      <c r="E298" s="126"/>
      <c r="F298" s="132"/>
      <c r="G298" s="132"/>
    </row>
    <row r="299" spans="1:7" ht="26.25" customHeight="1">
      <c r="A299" s="269" t="s">
        <v>651</v>
      </c>
      <c r="B299" s="276"/>
      <c r="C299" s="276"/>
      <c r="D299" s="276"/>
      <c r="E299" s="276"/>
      <c r="F299" s="132"/>
      <c r="G299" s="132"/>
    </row>
    <row r="300" spans="1:7" ht="23.25" customHeight="1">
      <c r="A300" s="40" t="s">
        <v>212</v>
      </c>
      <c r="B300" s="40" t="s">
        <v>213</v>
      </c>
      <c r="C300" s="40" t="s">
        <v>214</v>
      </c>
      <c r="D300" s="40" t="s">
        <v>215</v>
      </c>
      <c r="E300" s="39" t="s">
        <v>216</v>
      </c>
      <c r="F300" s="132"/>
      <c r="G300" s="132"/>
    </row>
    <row r="301" spans="1:7" ht="17.25" customHeight="1">
      <c r="A301" s="273" t="s">
        <v>223</v>
      </c>
      <c r="B301" s="274"/>
      <c r="C301" s="275"/>
      <c r="D301" s="40"/>
      <c r="E301" s="39"/>
      <c r="F301" s="132"/>
      <c r="G301" s="132"/>
    </row>
    <row r="302" spans="1:7" ht="17.25" customHeight="1">
      <c r="A302" s="70">
        <v>765</v>
      </c>
      <c r="B302" s="40">
        <v>1</v>
      </c>
      <c r="C302" s="40" t="s">
        <v>224</v>
      </c>
      <c r="D302" s="106" t="s">
        <v>444</v>
      </c>
      <c r="E302" s="106">
        <v>48</v>
      </c>
      <c r="F302" s="132"/>
      <c r="G302" s="132"/>
    </row>
    <row r="303" spans="1:7" ht="17.25" customHeight="1">
      <c r="A303" s="40">
        <v>766</v>
      </c>
      <c r="B303" s="40">
        <v>6</v>
      </c>
      <c r="C303" s="40" t="s">
        <v>225</v>
      </c>
      <c r="D303" s="106" t="s">
        <v>445</v>
      </c>
      <c r="E303" s="106">
        <v>446</v>
      </c>
      <c r="F303" s="132"/>
      <c r="G303" s="132"/>
    </row>
    <row r="304" spans="1:7" ht="28.5" customHeight="1">
      <c r="A304" s="40">
        <v>767</v>
      </c>
      <c r="B304" s="40">
        <v>20</v>
      </c>
      <c r="C304" s="40" t="s">
        <v>228</v>
      </c>
      <c r="D304" s="106" t="s">
        <v>447</v>
      </c>
      <c r="E304" s="106">
        <v>2160</v>
      </c>
      <c r="F304" s="132"/>
      <c r="G304" s="132"/>
    </row>
    <row r="305" spans="1:7" ht="17.25" customHeight="1">
      <c r="A305" s="40"/>
      <c r="B305" s="208">
        <f>SUM(B302:B304)</f>
        <v>27</v>
      </c>
      <c r="C305" s="208"/>
      <c r="D305" s="208"/>
      <c r="E305" s="208">
        <f>SUM(E302:E304)</f>
        <v>2654</v>
      </c>
      <c r="F305" s="132"/>
      <c r="G305" s="132"/>
    </row>
    <row r="306" spans="1:7" ht="17.25" customHeight="1">
      <c r="A306" s="273" t="s">
        <v>217</v>
      </c>
      <c r="B306" s="274"/>
      <c r="C306" s="275"/>
      <c r="D306" s="40"/>
      <c r="E306" s="39"/>
      <c r="F306" s="132"/>
      <c r="G306" s="132"/>
    </row>
    <row r="307" spans="1:7" ht="17.25" customHeight="1">
      <c r="A307" s="45">
        <v>768</v>
      </c>
      <c r="B307" s="45">
        <v>8</v>
      </c>
      <c r="C307" s="45" t="s">
        <v>218</v>
      </c>
      <c r="D307" s="105" t="s">
        <v>292</v>
      </c>
      <c r="E307" s="105">
        <v>583</v>
      </c>
      <c r="F307" s="132"/>
      <c r="G307" s="132"/>
    </row>
    <row r="308" spans="1:7" ht="17.25" customHeight="1">
      <c r="A308" s="45">
        <v>769</v>
      </c>
      <c r="B308" s="45">
        <v>4</v>
      </c>
      <c r="C308" s="45" t="s">
        <v>237</v>
      </c>
      <c r="D308" s="105" t="s">
        <v>446</v>
      </c>
      <c r="E308" s="105">
        <v>290</v>
      </c>
      <c r="F308" s="132"/>
      <c r="G308" s="132"/>
    </row>
    <row r="309" spans="1:7" ht="17.25" customHeight="1">
      <c r="A309" s="40"/>
      <c r="B309" s="208">
        <f>SUM(B307:B308)</f>
        <v>12</v>
      </c>
      <c r="C309" s="208"/>
      <c r="D309" s="208"/>
      <c r="E309" s="208">
        <f>SUM(E307:E308)</f>
        <v>873</v>
      </c>
      <c r="F309" s="132"/>
      <c r="G309" s="132"/>
    </row>
    <row r="310" spans="1:7" ht="17.25" customHeight="1">
      <c r="A310" s="208" t="s">
        <v>14</v>
      </c>
      <c r="B310" s="126">
        <f>B305+B309</f>
        <v>39</v>
      </c>
      <c r="C310" s="126"/>
      <c r="D310" s="126"/>
      <c r="E310" s="126">
        <f>E305+E309</f>
        <v>3527</v>
      </c>
      <c r="F310" s="132"/>
      <c r="G310" s="132"/>
    </row>
    <row r="311" spans="1:7" ht="17.25" customHeight="1">
      <c r="A311" s="211"/>
      <c r="B311" s="127"/>
      <c r="C311" s="128"/>
      <c r="D311" s="126"/>
      <c r="E311" s="126"/>
      <c r="F311" s="132"/>
      <c r="G311" s="132"/>
    </row>
    <row r="312" spans="1:7" ht="34.5" customHeight="1">
      <c r="A312" s="269" t="s">
        <v>451</v>
      </c>
      <c r="B312" s="276"/>
      <c r="C312" s="276"/>
      <c r="D312" s="276"/>
      <c r="E312" s="276"/>
      <c r="F312" s="132"/>
      <c r="G312" s="132"/>
    </row>
    <row r="313" spans="1:7" ht="26.25" customHeight="1">
      <c r="A313" s="40" t="s">
        <v>212</v>
      </c>
      <c r="B313" s="40" t="s">
        <v>213</v>
      </c>
      <c r="C313" s="40" t="s">
        <v>214</v>
      </c>
      <c r="D313" s="40" t="s">
        <v>215</v>
      </c>
      <c r="E313" s="39" t="s">
        <v>216</v>
      </c>
      <c r="F313" s="132"/>
      <c r="G313" s="132"/>
    </row>
    <row r="314" spans="1:7" ht="17.25" customHeight="1">
      <c r="A314" s="273" t="s">
        <v>223</v>
      </c>
      <c r="B314" s="274"/>
      <c r="C314" s="275"/>
      <c r="D314" s="40"/>
      <c r="E314" s="39"/>
      <c r="F314" s="132"/>
      <c r="G314" s="132"/>
    </row>
    <row r="315" spans="1:7" ht="18" customHeight="1">
      <c r="A315" s="40">
        <v>1012</v>
      </c>
      <c r="B315" s="187">
        <v>1</v>
      </c>
      <c r="C315" s="187" t="s">
        <v>236</v>
      </c>
      <c r="D315" s="187" t="s">
        <v>262</v>
      </c>
      <c r="E315" s="106">
        <v>56</v>
      </c>
      <c r="F315" s="132"/>
      <c r="G315" s="132"/>
    </row>
    <row r="316" spans="1:7" ht="17.25" customHeight="1">
      <c r="A316" s="220">
        <v>1013</v>
      </c>
      <c r="B316" s="188">
        <v>1</v>
      </c>
      <c r="C316" s="188" t="s">
        <v>218</v>
      </c>
      <c r="D316" s="40" t="s">
        <v>448</v>
      </c>
      <c r="E316" s="188">
        <v>72</v>
      </c>
      <c r="F316" s="132"/>
      <c r="G316" s="132"/>
    </row>
    <row r="317" spans="1:7" ht="17.25" customHeight="1">
      <c r="A317" s="220">
        <v>1014</v>
      </c>
      <c r="B317" s="188">
        <v>5</v>
      </c>
      <c r="C317" s="188" t="s">
        <v>237</v>
      </c>
      <c r="D317" s="40" t="s">
        <v>449</v>
      </c>
      <c r="E317" s="188">
        <v>528</v>
      </c>
      <c r="F317" s="132"/>
      <c r="G317" s="132"/>
    </row>
    <row r="318" spans="1:7" ht="17.25" customHeight="1">
      <c r="A318" s="40"/>
      <c r="B318" s="208">
        <f>SUM(B315:B317)</f>
        <v>7</v>
      </c>
      <c r="C318" s="208"/>
      <c r="D318" s="208"/>
      <c r="E318" s="208">
        <f>SUM(E315:E317)</f>
        <v>656</v>
      </c>
      <c r="F318" s="132"/>
      <c r="G318" s="132"/>
    </row>
    <row r="319" spans="1:7" ht="17.25" customHeight="1">
      <c r="A319" s="273" t="s">
        <v>217</v>
      </c>
      <c r="B319" s="274"/>
      <c r="C319" s="275"/>
      <c r="D319" s="40"/>
      <c r="E319" s="39"/>
      <c r="F319" s="132"/>
      <c r="G319" s="132"/>
    </row>
    <row r="320" spans="1:7" ht="17.25" customHeight="1">
      <c r="A320" s="40">
        <v>1020</v>
      </c>
      <c r="B320" s="60">
        <v>10</v>
      </c>
      <c r="C320" s="209" t="s">
        <v>452</v>
      </c>
      <c r="D320" s="60" t="s">
        <v>453</v>
      </c>
      <c r="E320" s="60">
        <v>1765</v>
      </c>
      <c r="F320" s="132"/>
      <c r="G320" s="132"/>
    </row>
    <row r="321" spans="1:7" ht="17.25" customHeight="1">
      <c r="A321" s="70">
        <v>1016</v>
      </c>
      <c r="B321" s="91">
        <v>2</v>
      </c>
      <c r="C321" s="70" t="s">
        <v>236</v>
      </c>
      <c r="D321" s="106" t="s">
        <v>306</v>
      </c>
      <c r="E321" s="107">
        <v>84</v>
      </c>
      <c r="F321" s="132"/>
      <c r="G321" s="132"/>
    </row>
    <row r="322" spans="1:7" ht="17.25" customHeight="1">
      <c r="A322" s="70">
        <v>1017</v>
      </c>
      <c r="B322" s="91">
        <v>19</v>
      </c>
      <c r="C322" s="70" t="s">
        <v>218</v>
      </c>
      <c r="D322" s="106" t="s">
        <v>450</v>
      </c>
      <c r="E322" s="107">
        <v>1705</v>
      </c>
      <c r="F322" s="132"/>
      <c r="G322" s="132"/>
    </row>
    <row r="323" spans="1:7" ht="17.25" customHeight="1">
      <c r="A323" s="70">
        <v>1018</v>
      </c>
      <c r="B323" s="91">
        <v>3</v>
      </c>
      <c r="C323" s="70" t="s">
        <v>218</v>
      </c>
      <c r="D323" s="106" t="s">
        <v>240</v>
      </c>
      <c r="E323" s="107">
        <v>254</v>
      </c>
      <c r="F323" s="132"/>
      <c r="G323" s="132"/>
    </row>
    <row r="324" spans="1:7" ht="17.25" customHeight="1">
      <c r="A324" s="70">
        <v>1019</v>
      </c>
      <c r="B324" s="91">
        <v>1</v>
      </c>
      <c r="C324" s="70" t="s">
        <v>237</v>
      </c>
      <c r="D324" s="106" t="s">
        <v>239</v>
      </c>
      <c r="E324" s="107">
        <v>100</v>
      </c>
      <c r="F324" s="132"/>
      <c r="G324" s="132"/>
    </row>
    <row r="325" spans="1:7" ht="17.25" customHeight="1">
      <c r="A325" s="40"/>
      <c r="B325" s="208">
        <f>SUM(B320:B324)</f>
        <v>35</v>
      </c>
      <c r="C325" s="208"/>
      <c r="D325" s="208"/>
      <c r="E325" s="208">
        <f>SUM(E320:E324)</f>
        <v>3908</v>
      </c>
      <c r="F325" s="132"/>
      <c r="G325" s="132"/>
    </row>
    <row r="326" spans="1:7" ht="17.25" customHeight="1">
      <c r="A326" s="273" t="s">
        <v>230</v>
      </c>
      <c r="B326" s="274"/>
      <c r="C326" s="275"/>
      <c r="D326" s="163"/>
      <c r="E326" s="208"/>
      <c r="F326" s="132"/>
      <c r="G326" s="132"/>
    </row>
    <row r="327" spans="1:7" ht="17.25" customHeight="1">
      <c r="A327" s="70">
        <v>1015</v>
      </c>
      <c r="B327" s="91">
        <v>1</v>
      </c>
      <c r="C327" s="70" t="s">
        <v>218</v>
      </c>
      <c r="D327" s="106" t="s">
        <v>239</v>
      </c>
      <c r="E327" s="107">
        <v>45</v>
      </c>
      <c r="F327" s="132"/>
      <c r="G327" s="132"/>
    </row>
    <row r="328" spans="1:7" ht="17.25" customHeight="1">
      <c r="A328" s="40"/>
      <c r="B328" s="208">
        <f>B327</f>
        <v>1</v>
      </c>
      <c r="C328" s="208"/>
      <c r="D328" s="208"/>
      <c r="E328" s="208">
        <f>E327</f>
        <v>45</v>
      </c>
      <c r="F328" s="132"/>
      <c r="G328" s="132"/>
    </row>
    <row r="329" spans="1:7" ht="17.25" customHeight="1">
      <c r="A329" s="208" t="s">
        <v>14</v>
      </c>
      <c r="B329" s="126">
        <f>B318+B325+B328</f>
        <v>43</v>
      </c>
      <c r="C329" s="126"/>
      <c r="D329" s="126"/>
      <c r="E329" s="126">
        <f>E318+E325+E328</f>
        <v>4609</v>
      </c>
      <c r="F329" s="132"/>
      <c r="G329" s="132"/>
    </row>
    <row r="330" spans="1:7" ht="17.25" customHeight="1">
      <c r="A330" s="211"/>
      <c r="B330" s="127"/>
      <c r="C330" s="128"/>
      <c r="D330" s="126"/>
      <c r="E330" s="126"/>
      <c r="F330" s="132"/>
      <c r="G330" s="132"/>
    </row>
    <row r="331" spans="1:7" ht="26.25" customHeight="1">
      <c r="A331" s="269" t="s">
        <v>466</v>
      </c>
      <c r="B331" s="276"/>
      <c r="C331" s="276"/>
      <c r="D331" s="276"/>
      <c r="E331" s="276"/>
      <c r="F331" s="132"/>
      <c r="G331" s="132"/>
    </row>
    <row r="332" spans="1:7" ht="29.25" customHeight="1">
      <c r="A332" s="40" t="s">
        <v>212</v>
      </c>
      <c r="B332" s="40" t="s">
        <v>213</v>
      </c>
      <c r="C332" s="40" t="s">
        <v>214</v>
      </c>
      <c r="D332" s="40" t="s">
        <v>215</v>
      </c>
      <c r="E332" s="39" t="s">
        <v>216</v>
      </c>
      <c r="F332" s="132"/>
      <c r="G332" s="132"/>
    </row>
    <row r="333" spans="1:7" ht="19.5" customHeight="1">
      <c r="A333" s="273" t="s">
        <v>223</v>
      </c>
      <c r="B333" s="274"/>
      <c r="C333" s="275"/>
      <c r="D333" s="40"/>
      <c r="E333" s="39"/>
      <c r="F333" s="132"/>
      <c r="G333" s="132"/>
    </row>
    <row r="334" spans="1:7" ht="30">
      <c r="A334" s="40">
        <v>1021</v>
      </c>
      <c r="B334" s="187">
        <v>11</v>
      </c>
      <c r="C334" s="188" t="s">
        <v>237</v>
      </c>
      <c r="D334" s="40" t="s">
        <v>467</v>
      </c>
      <c r="E334" s="188">
        <v>1147</v>
      </c>
      <c r="F334" s="132"/>
      <c r="G334" s="132"/>
    </row>
    <row r="335" spans="1:7" ht="17.25" customHeight="1">
      <c r="A335" s="40"/>
      <c r="B335" s="208">
        <f>SUM(B334:B334)</f>
        <v>11</v>
      </c>
      <c r="C335" s="208"/>
      <c r="D335" s="208"/>
      <c r="E335" s="208">
        <f>SUM(E334:E334)</f>
        <v>1147</v>
      </c>
      <c r="F335" s="132"/>
      <c r="G335" s="132"/>
    </row>
    <row r="336" spans="1:7" ht="17.25" customHeight="1">
      <c r="A336" s="273" t="s">
        <v>217</v>
      </c>
      <c r="B336" s="274"/>
      <c r="C336" s="275"/>
      <c r="D336" s="40"/>
      <c r="E336" s="39"/>
      <c r="F336" s="132"/>
      <c r="G336" s="132"/>
    </row>
    <row r="337" spans="1:7" ht="21" customHeight="1">
      <c r="A337" s="70">
        <v>1022</v>
      </c>
      <c r="B337" s="91">
        <v>25</v>
      </c>
      <c r="C337" s="189" t="s">
        <v>472</v>
      </c>
      <c r="D337" s="106" t="s">
        <v>468</v>
      </c>
      <c r="E337" s="107">
        <v>2568</v>
      </c>
      <c r="F337" s="132"/>
      <c r="G337" s="132"/>
    </row>
    <row r="338" spans="1:7" ht="28.5" customHeight="1">
      <c r="A338" s="70">
        <v>1023</v>
      </c>
      <c r="B338" s="91">
        <v>25</v>
      </c>
      <c r="C338" s="189" t="s">
        <v>232</v>
      </c>
      <c r="D338" s="106" t="s">
        <v>469</v>
      </c>
      <c r="E338" s="107">
        <v>2601</v>
      </c>
      <c r="F338" s="132"/>
      <c r="G338" s="132"/>
    </row>
    <row r="339" spans="1:7" ht="21" customHeight="1">
      <c r="A339" s="70">
        <v>1024</v>
      </c>
      <c r="B339" s="91">
        <v>20</v>
      </c>
      <c r="C339" s="189" t="s">
        <v>473</v>
      </c>
      <c r="D339" s="106" t="s">
        <v>470</v>
      </c>
      <c r="E339" s="107">
        <v>3542</v>
      </c>
      <c r="F339" s="132"/>
      <c r="G339" s="132"/>
    </row>
    <row r="340" spans="1:7" ht="21" customHeight="1">
      <c r="A340" s="40">
        <v>1025</v>
      </c>
      <c r="B340" s="60">
        <v>30</v>
      </c>
      <c r="C340" s="209" t="s">
        <v>474</v>
      </c>
      <c r="D340" s="106" t="s">
        <v>471</v>
      </c>
      <c r="E340" s="106">
        <v>7261</v>
      </c>
      <c r="F340" s="132"/>
      <c r="G340" s="132"/>
    </row>
    <row r="341" spans="1:7" ht="22.5" customHeight="1">
      <c r="A341" s="70">
        <v>1027</v>
      </c>
      <c r="B341" s="91">
        <v>1</v>
      </c>
      <c r="C341" s="70" t="s">
        <v>236</v>
      </c>
      <c r="D341" s="106" t="s">
        <v>239</v>
      </c>
      <c r="E341" s="107">
        <v>36</v>
      </c>
      <c r="F341" s="132"/>
      <c r="G341" s="132"/>
    </row>
    <row r="342" spans="1:7" ht="22.5" customHeight="1">
      <c r="A342" s="70">
        <v>1028</v>
      </c>
      <c r="B342" s="91">
        <v>22</v>
      </c>
      <c r="C342" s="70" t="s">
        <v>218</v>
      </c>
      <c r="D342" s="106" t="s">
        <v>475</v>
      </c>
      <c r="E342" s="107">
        <v>1976</v>
      </c>
      <c r="F342" s="132"/>
      <c r="G342" s="132"/>
    </row>
    <row r="343" spans="1:7" ht="22.5" customHeight="1">
      <c r="A343" s="70">
        <v>1029</v>
      </c>
      <c r="B343" s="91">
        <v>11</v>
      </c>
      <c r="C343" s="70" t="s">
        <v>218</v>
      </c>
      <c r="D343" s="106" t="s">
        <v>476</v>
      </c>
      <c r="E343" s="107">
        <v>926</v>
      </c>
      <c r="F343" s="132"/>
      <c r="G343" s="132"/>
    </row>
    <row r="344" spans="1:7" ht="22.5" customHeight="1">
      <c r="A344" s="70">
        <v>1030</v>
      </c>
      <c r="B344" s="91">
        <v>3</v>
      </c>
      <c r="C344" s="70" t="s">
        <v>237</v>
      </c>
      <c r="D344" s="106" t="s">
        <v>240</v>
      </c>
      <c r="E344" s="107">
        <v>300</v>
      </c>
      <c r="F344" s="132"/>
      <c r="G344" s="132"/>
    </row>
    <row r="345" spans="1:7" ht="17.25" customHeight="1">
      <c r="A345" s="40"/>
      <c r="B345" s="208">
        <f>SUM(B337:B344)</f>
        <v>137</v>
      </c>
      <c r="C345" s="208"/>
      <c r="D345" s="208"/>
      <c r="E345" s="208">
        <f>SUM(E337:E344)</f>
        <v>19210</v>
      </c>
      <c r="F345" s="132"/>
      <c r="G345" s="132"/>
    </row>
    <row r="346" spans="1:7" ht="17.25" customHeight="1">
      <c r="A346" s="273" t="s">
        <v>230</v>
      </c>
      <c r="B346" s="274"/>
      <c r="C346" s="275"/>
      <c r="D346" s="208"/>
      <c r="E346" s="208"/>
      <c r="F346" s="132"/>
      <c r="G346" s="132"/>
    </row>
    <row r="347" spans="1:7" ht="26.25" customHeight="1">
      <c r="A347" s="70">
        <v>1026</v>
      </c>
      <c r="B347" s="91">
        <v>1</v>
      </c>
      <c r="C347" s="70" t="s">
        <v>218</v>
      </c>
      <c r="D347" s="106" t="s">
        <v>239</v>
      </c>
      <c r="E347" s="107">
        <v>45</v>
      </c>
      <c r="F347" s="132"/>
      <c r="G347" s="132"/>
    </row>
    <row r="348" spans="1:7" ht="17.25" customHeight="1">
      <c r="A348" s="40"/>
      <c r="B348" s="208">
        <f>B347</f>
        <v>1</v>
      </c>
      <c r="C348" s="208"/>
      <c r="D348" s="208"/>
      <c r="E348" s="208">
        <f>E347</f>
        <v>45</v>
      </c>
      <c r="F348" s="132"/>
      <c r="G348" s="132"/>
    </row>
    <row r="349" spans="1:7" ht="17.25" customHeight="1">
      <c r="A349" s="208" t="s">
        <v>14</v>
      </c>
      <c r="B349" s="126">
        <f>B335+B345+B348</f>
        <v>149</v>
      </c>
      <c r="C349" s="126"/>
      <c r="D349" s="126"/>
      <c r="E349" s="126">
        <f>E335+E345+E348</f>
        <v>20402</v>
      </c>
      <c r="F349" s="132"/>
      <c r="G349" s="132"/>
    </row>
    <row r="350" spans="1:7" ht="17.25" customHeight="1">
      <c r="A350" s="211"/>
      <c r="B350" s="127"/>
      <c r="C350" s="128"/>
      <c r="D350" s="126"/>
      <c r="E350" s="126"/>
      <c r="F350" s="132"/>
      <c r="G350" s="132"/>
    </row>
    <row r="351" spans="1:7" ht="28.5" customHeight="1">
      <c r="A351" s="269" t="s">
        <v>477</v>
      </c>
      <c r="B351" s="276"/>
      <c r="C351" s="276"/>
      <c r="D351" s="276"/>
      <c r="E351" s="276"/>
      <c r="F351" s="132"/>
      <c r="G351" s="132"/>
    </row>
    <row r="352" spans="1:7" ht="24" customHeight="1">
      <c r="A352" s="40" t="s">
        <v>212</v>
      </c>
      <c r="B352" s="40" t="s">
        <v>213</v>
      </c>
      <c r="C352" s="40" t="s">
        <v>214</v>
      </c>
      <c r="D352" s="40" t="s">
        <v>215</v>
      </c>
      <c r="E352" s="39" t="s">
        <v>216</v>
      </c>
      <c r="F352" s="132"/>
      <c r="G352" s="132"/>
    </row>
    <row r="353" spans="1:7" ht="17.25" customHeight="1">
      <c r="A353" s="273" t="s">
        <v>223</v>
      </c>
      <c r="B353" s="274"/>
      <c r="C353" s="275"/>
      <c r="D353" s="40"/>
      <c r="E353" s="39"/>
      <c r="F353" s="132"/>
      <c r="G353" s="132"/>
    </row>
    <row r="354" spans="1:7" ht="30.75" customHeight="1">
      <c r="A354" s="70">
        <v>205</v>
      </c>
      <c r="B354" s="91">
        <v>17</v>
      </c>
      <c r="C354" s="91" t="s">
        <v>224</v>
      </c>
      <c r="D354" s="70" t="s">
        <v>478</v>
      </c>
      <c r="E354" s="107">
        <v>1056</v>
      </c>
      <c r="F354" s="132"/>
      <c r="G354" s="132"/>
    </row>
    <row r="355" spans="1:7" ht="17.25" customHeight="1">
      <c r="A355" s="40">
        <v>206</v>
      </c>
      <c r="B355" s="106">
        <v>8</v>
      </c>
      <c r="C355" s="106" t="s">
        <v>225</v>
      </c>
      <c r="D355" s="106" t="s">
        <v>479</v>
      </c>
      <c r="E355" s="106">
        <v>643</v>
      </c>
      <c r="F355" s="132"/>
      <c r="G355" s="132"/>
    </row>
    <row r="356" spans="1:7" ht="17.25" customHeight="1">
      <c r="A356" s="40"/>
      <c r="B356" s="208">
        <f>SUM(B354:B355)</f>
        <v>25</v>
      </c>
      <c r="C356" s="208"/>
      <c r="D356" s="208"/>
      <c r="E356" s="208">
        <f>SUM(E354:E355)</f>
        <v>1699</v>
      </c>
      <c r="F356" s="132"/>
      <c r="G356" s="132"/>
    </row>
    <row r="357" spans="1:7" ht="17.25" customHeight="1">
      <c r="A357" s="273" t="s">
        <v>217</v>
      </c>
      <c r="B357" s="274"/>
      <c r="C357" s="275"/>
      <c r="D357" s="40"/>
      <c r="E357" s="39"/>
      <c r="F357" s="132"/>
      <c r="G357" s="132"/>
    </row>
    <row r="358" spans="1:7" ht="17.25" customHeight="1">
      <c r="A358" s="40">
        <v>207</v>
      </c>
      <c r="B358" s="60">
        <v>15</v>
      </c>
      <c r="C358" s="40" t="s">
        <v>224</v>
      </c>
      <c r="D358" s="60" t="s">
        <v>480</v>
      </c>
      <c r="E358" s="40">
        <v>772</v>
      </c>
      <c r="F358" s="132"/>
      <c r="G358" s="132">
        <f>B358+B363</f>
        <v>18</v>
      </c>
    </row>
    <row r="359" spans="1:7" ht="17.25" customHeight="1">
      <c r="A359" s="40">
        <v>208</v>
      </c>
      <c r="B359" s="40">
        <v>2</v>
      </c>
      <c r="C359" s="40" t="s">
        <v>225</v>
      </c>
      <c r="D359" s="40" t="s">
        <v>481</v>
      </c>
      <c r="E359" s="40">
        <v>143</v>
      </c>
      <c r="F359" s="132"/>
      <c r="G359" s="132">
        <f>B359+B364</f>
        <v>5</v>
      </c>
    </row>
    <row r="360" spans="1:7" ht="17.25" customHeight="1">
      <c r="A360" s="40">
        <v>211</v>
      </c>
      <c r="B360" s="40">
        <v>2</v>
      </c>
      <c r="C360" s="209" t="s">
        <v>232</v>
      </c>
      <c r="D360" s="40" t="s">
        <v>482</v>
      </c>
      <c r="E360" s="40">
        <v>248</v>
      </c>
      <c r="F360" s="132"/>
      <c r="G360" s="132"/>
    </row>
    <row r="361" spans="1:7" ht="17.25" customHeight="1">
      <c r="A361" s="40">
        <v>212</v>
      </c>
      <c r="B361" s="40">
        <v>4</v>
      </c>
      <c r="C361" s="209" t="s">
        <v>241</v>
      </c>
      <c r="D361" s="40" t="s">
        <v>483</v>
      </c>
      <c r="E361" s="40">
        <v>800</v>
      </c>
      <c r="F361" s="132"/>
      <c r="G361" s="132"/>
    </row>
    <row r="362" spans="1:7" ht="17.25" customHeight="1">
      <c r="A362" s="40">
        <v>214</v>
      </c>
      <c r="B362" s="40">
        <v>2</v>
      </c>
      <c r="C362" s="209" t="s">
        <v>245</v>
      </c>
      <c r="D362" s="40" t="s">
        <v>484</v>
      </c>
      <c r="E362" s="40">
        <v>585</v>
      </c>
      <c r="F362" s="132"/>
      <c r="G362" s="132"/>
    </row>
    <row r="363" spans="1:7" ht="17.25" customHeight="1">
      <c r="A363" s="40">
        <v>215</v>
      </c>
      <c r="B363" s="40">
        <v>3</v>
      </c>
      <c r="C363" s="40" t="s">
        <v>224</v>
      </c>
      <c r="D363" s="40" t="s">
        <v>490</v>
      </c>
      <c r="E363" s="40">
        <v>162</v>
      </c>
      <c r="F363" s="132"/>
      <c r="G363" s="132"/>
    </row>
    <row r="364" spans="1:7" ht="17.25" customHeight="1">
      <c r="A364" s="40">
        <v>216</v>
      </c>
      <c r="B364" s="40">
        <v>3</v>
      </c>
      <c r="C364" s="40" t="s">
        <v>225</v>
      </c>
      <c r="D364" s="40" t="s">
        <v>491</v>
      </c>
      <c r="E364" s="40">
        <v>200</v>
      </c>
      <c r="F364" s="132"/>
      <c r="G364" s="132"/>
    </row>
    <row r="365" spans="1:7" ht="25.5" customHeight="1">
      <c r="A365" s="40">
        <v>213</v>
      </c>
      <c r="B365" s="40">
        <v>3</v>
      </c>
      <c r="C365" s="209" t="s">
        <v>485</v>
      </c>
      <c r="D365" s="40" t="s">
        <v>486</v>
      </c>
      <c r="E365" s="40">
        <v>580</v>
      </c>
      <c r="F365" s="132"/>
      <c r="G365" s="132"/>
    </row>
    <row r="366" spans="1:7" ht="17.25" customHeight="1">
      <c r="A366" s="40"/>
      <c r="B366" s="208">
        <f>SUM(B358:B365)</f>
        <v>34</v>
      </c>
      <c r="C366" s="208"/>
      <c r="D366" s="208"/>
      <c r="E366" s="208">
        <f>SUM(E358:E365)</f>
        <v>3490</v>
      </c>
      <c r="F366" s="132"/>
      <c r="G366" s="132"/>
    </row>
    <row r="367" spans="1:7" ht="17.25" customHeight="1">
      <c r="A367" s="273" t="s">
        <v>229</v>
      </c>
      <c r="B367" s="274"/>
      <c r="C367" s="275"/>
      <c r="D367" s="208"/>
      <c r="E367" s="208"/>
      <c r="F367" s="132"/>
      <c r="G367" s="132"/>
    </row>
    <row r="368" spans="1:7" ht="17.25" customHeight="1">
      <c r="A368" s="40">
        <v>209</v>
      </c>
      <c r="B368" s="60">
        <v>5</v>
      </c>
      <c r="C368" s="60" t="s">
        <v>225</v>
      </c>
      <c r="D368" s="60" t="s">
        <v>488</v>
      </c>
      <c r="E368" s="40">
        <v>281</v>
      </c>
      <c r="F368" s="132"/>
      <c r="G368" s="132"/>
    </row>
    <row r="369" spans="1:7" ht="17.25" customHeight="1">
      <c r="A369" s="40"/>
      <c r="B369" s="208">
        <f>B368</f>
        <v>5</v>
      </c>
      <c r="C369" s="208"/>
      <c r="D369" s="208"/>
      <c r="E369" s="208">
        <f>E368</f>
        <v>281</v>
      </c>
      <c r="F369" s="132"/>
      <c r="G369" s="132"/>
    </row>
    <row r="370" spans="1:7" ht="17.25" customHeight="1">
      <c r="A370" s="273" t="s">
        <v>230</v>
      </c>
      <c r="B370" s="274"/>
      <c r="C370" s="275"/>
      <c r="D370" s="208"/>
      <c r="E370" s="208"/>
      <c r="F370" s="132"/>
      <c r="G370" s="132"/>
    </row>
    <row r="371" spans="1:7" ht="17.25" customHeight="1">
      <c r="A371" s="40">
        <v>210</v>
      </c>
      <c r="B371" s="40">
        <v>1</v>
      </c>
      <c r="C371" s="40" t="s">
        <v>225</v>
      </c>
      <c r="D371" s="40" t="s">
        <v>487</v>
      </c>
      <c r="E371" s="40">
        <v>56</v>
      </c>
      <c r="F371" s="132"/>
      <c r="G371" s="132"/>
    </row>
    <row r="372" spans="1:7" ht="17.25" customHeight="1">
      <c r="A372" s="40"/>
      <c r="B372" s="208">
        <f>B371</f>
        <v>1</v>
      </c>
      <c r="C372" s="208"/>
      <c r="D372" s="208"/>
      <c r="E372" s="208">
        <f>E371</f>
        <v>56</v>
      </c>
      <c r="F372" s="132"/>
      <c r="G372" s="132"/>
    </row>
    <row r="373" spans="1:7" ht="17.25" customHeight="1">
      <c r="A373" s="208" t="s">
        <v>14</v>
      </c>
      <c r="B373" s="126">
        <f>B356+B366+B372+B369</f>
        <v>65</v>
      </c>
      <c r="C373" s="126"/>
      <c r="D373" s="126"/>
      <c r="E373" s="126">
        <f>E356+E366+E372+E369</f>
        <v>5526</v>
      </c>
      <c r="F373" s="132"/>
      <c r="G373" s="132"/>
    </row>
    <row r="374" spans="1:7" ht="17.25" customHeight="1">
      <c r="A374" s="211"/>
      <c r="B374" s="127"/>
      <c r="C374" s="128"/>
      <c r="D374" s="126"/>
      <c r="E374" s="126"/>
      <c r="F374" s="132"/>
      <c r="G374" s="132"/>
    </row>
    <row r="375" spans="1:7" ht="28.5" customHeight="1">
      <c r="A375" s="269" t="s">
        <v>492</v>
      </c>
      <c r="B375" s="276"/>
      <c r="C375" s="276"/>
      <c r="D375" s="276"/>
      <c r="E375" s="276"/>
      <c r="F375" s="132"/>
      <c r="G375" s="132"/>
    </row>
    <row r="376" spans="1:7" ht="22.5" customHeight="1">
      <c r="A376" s="40" t="s">
        <v>212</v>
      </c>
      <c r="B376" s="40" t="s">
        <v>213</v>
      </c>
      <c r="C376" s="40" t="s">
        <v>214</v>
      </c>
      <c r="D376" s="40" t="s">
        <v>215</v>
      </c>
      <c r="E376" s="39" t="s">
        <v>216</v>
      </c>
      <c r="F376" s="132"/>
      <c r="G376" s="132"/>
    </row>
    <row r="377" spans="1:7" ht="17.25" customHeight="1">
      <c r="A377" s="273" t="s">
        <v>223</v>
      </c>
      <c r="B377" s="274"/>
      <c r="C377" s="275"/>
      <c r="D377" s="40"/>
      <c r="E377" s="39"/>
      <c r="F377" s="132"/>
      <c r="G377" s="132"/>
    </row>
    <row r="378" spans="1:7" ht="26.25" customHeight="1">
      <c r="A378" s="60" t="s">
        <v>496</v>
      </c>
      <c r="B378" s="60">
        <v>20</v>
      </c>
      <c r="C378" s="60" t="s">
        <v>224</v>
      </c>
      <c r="D378" s="40" t="s">
        <v>497</v>
      </c>
      <c r="E378" s="60">
        <v>1213.7</v>
      </c>
      <c r="F378" s="132"/>
      <c r="G378" s="132"/>
    </row>
    <row r="379" spans="1:7" ht="17.25" customHeight="1">
      <c r="A379" s="60" t="s">
        <v>498</v>
      </c>
      <c r="B379" s="60">
        <v>6</v>
      </c>
      <c r="C379" s="60" t="s">
        <v>228</v>
      </c>
      <c r="D379" s="40" t="s">
        <v>499</v>
      </c>
      <c r="E379" s="60">
        <v>672.4</v>
      </c>
      <c r="F379" s="132"/>
      <c r="G379" s="132"/>
    </row>
    <row r="380" spans="1:7" ht="17.25" customHeight="1">
      <c r="A380" s="60" t="s">
        <v>500</v>
      </c>
      <c r="B380" s="60">
        <v>7</v>
      </c>
      <c r="C380" s="60" t="s">
        <v>218</v>
      </c>
      <c r="D380" s="40" t="s">
        <v>501</v>
      </c>
      <c r="E380" s="60">
        <v>560.05</v>
      </c>
      <c r="F380" s="132"/>
      <c r="G380" s="132"/>
    </row>
    <row r="381" spans="1:7" ht="17.25" customHeight="1">
      <c r="A381" s="60" t="s">
        <v>502</v>
      </c>
      <c r="B381" s="60">
        <v>1</v>
      </c>
      <c r="C381" s="40" t="s">
        <v>543</v>
      </c>
      <c r="D381" s="40" t="s">
        <v>503</v>
      </c>
      <c r="E381" s="60">
        <v>62</v>
      </c>
      <c r="F381" s="132"/>
      <c r="G381" s="132"/>
    </row>
    <row r="382" spans="1:7" ht="17.25" customHeight="1">
      <c r="A382" s="60" t="s">
        <v>504</v>
      </c>
      <c r="B382" s="60">
        <v>6</v>
      </c>
      <c r="C382" s="60" t="s">
        <v>224</v>
      </c>
      <c r="D382" s="40" t="s">
        <v>505</v>
      </c>
      <c r="E382" s="60">
        <v>347</v>
      </c>
      <c r="F382" s="132"/>
      <c r="G382" s="132"/>
    </row>
    <row r="383" spans="1:7" ht="17.25" customHeight="1">
      <c r="A383" s="40"/>
      <c r="B383" s="208">
        <f>SUM(B378:B382)</f>
        <v>40</v>
      </c>
      <c r="C383" s="208"/>
      <c r="D383" s="208"/>
      <c r="E383" s="208">
        <f>SUM(E378:E382)</f>
        <v>2855.1499999999996</v>
      </c>
      <c r="F383" s="132"/>
      <c r="G383" s="132"/>
    </row>
    <row r="384" spans="1:7" ht="17.25" customHeight="1">
      <c r="A384" s="273" t="s">
        <v>217</v>
      </c>
      <c r="B384" s="274"/>
      <c r="C384" s="275"/>
      <c r="D384" s="40"/>
      <c r="E384" s="39"/>
      <c r="F384" s="132"/>
      <c r="G384" s="132"/>
    </row>
    <row r="385" spans="1:8" ht="17.25" customHeight="1">
      <c r="A385" s="60" t="s">
        <v>506</v>
      </c>
      <c r="B385" s="187">
        <v>14</v>
      </c>
      <c r="C385" s="106" t="s">
        <v>224</v>
      </c>
      <c r="D385" s="106" t="s">
        <v>507</v>
      </c>
      <c r="E385" s="187">
        <v>837</v>
      </c>
      <c r="F385" s="132"/>
      <c r="G385" s="132"/>
      <c r="H385" s="99">
        <f>B385+B388</f>
        <v>23</v>
      </c>
    </row>
    <row r="386" spans="1:7" ht="17.25" customHeight="1">
      <c r="A386" s="60" t="s">
        <v>508</v>
      </c>
      <c r="B386" s="187">
        <v>2</v>
      </c>
      <c r="C386" s="209" t="s">
        <v>472</v>
      </c>
      <c r="D386" s="40" t="s">
        <v>509</v>
      </c>
      <c r="E386" s="40">
        <v>214</v>
      </c>
      <c r="F386" s="132"/>
      <c r="G386" s="132"/>
    </row>
    <row r="387" spans="1:7" ht="17.25" customHeight="1">
      <c r="A387" s="60" t="s">
        <v>510</v>
      </c>
      <c r="B387" s="60">
        <v>10</v>
      </c>
      <c r="C387" s="209" t="s">
        <v>241</v>
      </c>
      <c r="D387" s="40" t="s">
        <v>511</v>
      </c>
      <c r="E387" s="60">
        <v>2045</v>
      </c>
      <c r="F387" s="132"/>
      <c r="G387" s="132"/>
    </row>
    <row r="388" spans="1:7" ht="17.25" customHeight="1">
      <c r="A388" s="60" t="s">
        <v>512</v>
      </c>
      <c r="B388" s="187">
        <v>9</v>
      </c>
      <c r="C388" s="106" t="s">
        <v>362</v>
      </c>
      <c r="D388" s="106" t="s">
        <v>513</v>
      </c>
      <c r="E388" s="187">
        <v>385</v>
      </c>
      <c r="F388" s="132"/>
      <c r="G388" s="132"/>
    </row>
    <row r="389" spans="1:7" ht="17.25" customHeight="1">
      <c r="A389" s="60" t="s">
        <v>514</v>
      </c>
      <c r="B389" s="187">
        <v>16</v>
      </c>
      <c r="C389" s="106" t="s">
        <v>521</v>
      </c>
      <c r="D389" s="106" t="s">
        <v>515</v>
      </c>
      <c r="E389" s="187">
        <v>972</v>
      </c>
      <c r="F389" s="132"/>
      <c r="G389" s="132"/>
    </row>
    <row r="390" spans="1:7" ht="17.25" customHeight="1">
      <c r="A390" s="60" t="s">
        <v>516</v>
      </c>
      <c r="B390" s="187">
        <v>5</v>
      </c>
      <c r="C390" s="106" t="s">
        <v>517</v>
      </c>
      <c r="D390" s="106" t="s">
        <v>518</v>
      </c>
      <c r="E390" s="187">
        <v>369</v>
      </c>
      <c r="F390" s="132"/>
      <c r="G390" s="132"/>
    </row>
    <row r="391" spans="1:7" ht="17.25" customHeight="1">
      <c r="A391" s="40"/>
      <c r="B391" s="208">
        <f>SUM(B385:B390)</f>
        <v>56</v>
      </c>
      <c r="C391" s="208"/>
      <c r="D391" s="208"/>
      <c r="E391" s="211">
        <f>SUM(E385:E390)</f>
        <v>4822</v>
      </c>
      <c r="F391" s="132"/>
      <c r="G391" s="132"/>
    </row>
    <row r="392" spans="1:7" ht="17.25" customHeight="1">
      <c r="A392" s="273" t="s">
        <v>229</v>
      </c>
      <c r="B392" s="274"/>
      <c r="C392" s="275"/>
      <c r="D392" s="208"/>
      <c r="E392" s="211"/>
      <c r="F392" s="132"/>
      <c r="G392" s="132"/>
    </row>
    <row r="393" spans="1:7" ht="17.25" customHeight="1">
      <c r="A393" s="60" t="s">
        <v>519</v>
      </c>
      <c r="B393" s="187">
        <v>6</v>
      </c>
      <c r="C393" s="187" t="s">
        <v>522</v>
      </c>
      <c r="D393" s="106" t="s">
        <v>520</v>
      </c>
      <c r="E393" s="187">
        <v>351.8</v>
      </c>
      <c r="F393" s="132"/>
      <c r="G393" s="132"/>
    </row>
    <row r="394" spans="1:7" ht="17.25" customHeight="1">
      <c r="A394" s="40"/>
      <c r="B394" s="208">
        <f>B393</f>
        <v>6</v>
      </c>
      <c r="C394" s="208"/>
      <c r="D394" s="208"/>
      <c r="E394" s="208">
        <f>E393</f>
        <v>351.8</v>
      </c>
      <c r="F394" s="132"/>
      <c r="G394" s="132"/>
    </row>
    <row r="395" spans="1:7" ht="17.25" customHeight="1">
      <c r="A395" s="208" t="s">
        <v>14</v>
      </c>
      <c r="B395" s="126">
        <f>B383+B391+B394</f>
        <v>102</v>
      </c>
      <c r="C395" s="126"/>
      <c r="D395" s="126"/>
      <c r="E395" s="126">
        <f>E383+E391+E394</f>
        <v>8028.95</v>
      </c>
      <c r="F395" s="132"/>
      <c r="G395" s="132"/>
    </row>
    <row r="396" spans="1:7" ht="17.25" customHeight="1">
      <c r="A396" s="211"/>
      <c r="B396" s="127"/>
      <c r="C396" s="128"/>
      <c r="D396" s="126"/>
      <c r="E396" s="126"/>
      <c r="F396" s="132"/>
      <c r="G396" s="132"/>
    </row>
    <row r="397" spans="1:7" ht="28.5" customHeight="1">
      <c r="A397" s="269" t="s">
        <v>523</v>
      </c>
      <c r="B397" s="276"/>
      <c r="C397" s="276"/>
      <c r="D397" s="276"/>
      <c r="E397" s="276"/>
      <c r="F397" s="132"/>
      <c r="G397" s="132"/>
    </row>
    <row r="398" spans="1:7" ht="24" customHeight="1">
      <c r="A398" s="40" t="s">
        <v>212</v>
      </c>
      <c r="B398" s="40" t="s">
        <v>213</v>
      </c>
      <c r="C398" s="40" t="s">
        <v>214</v>
      </c>
      <c r="D398" s="40" t="s">
        <v>215</v>
      </c>
      <c r="E398" s="39" t="s">
        <v>216</v>
      </c>
      <c r="F398" s="132"/>
      <c r="G398" s="132"/>
    </row>
    <row r="399" spans="1:7" ht="17.25" customHeight="1">
      <c r="A399" s="273" t="s">
        <v>223</v>
      </c>
      <c r="B399" s="274"/>
      <c r="C399" s="275"/>
      <c r="D399" s="40"/>
      <c r="E399" s="39"/>
      <c r="F399" s="132"/>
      <c r="G399" s="132"/>
    </row>
    <row r="400" spans="1:7" ht="17.25" customHeight="1">
      <c r="A400" s="60">
        <v>23108</v>
      </c>
      <c r="B400" s="60">
        <v>4</v>
      </c>
      <c r="C400" s="40" t="s">
        <v>225</v>
      </c>
      <c r="D400" s="40" t="s">
        <v>524</v>
      </c>
      <c r="E400" s="60">
        <v>334</v>
      </c>
      <c r="F400" s="132"/>
      <c r="G400" s="132"/>
    </row>
    <row r="401" spans="1:7" ht="17.25" customHeight="1">
      <c r="A401" s="40"/>
      <c r="B401" s="208">
        <f>SUM(B400:B400)</f>
        <v>4</v>
      </c>
      <c r="C401" s="208"/>
      <c r="D401" s="208"/>
      <c r="E401" s="208">
        <f>SUM(E400:E400)</f>
        <v>334</v>
      </c>
      <c r="F401" s="132"/>
      <c r="G401" s="132"/>
    </row>
    <row r="402" spans="1:7" ht="17.25" customHeight="1">
      <c r="A402" s="273" t="s">
        <v>217</v>
      </c>
      <c r="B402" s="274"/>
      <c r="C402" s="275"/>
      <c r="D402" s="40"/>
      <c r="E402" s="39"/>
      <c r="F402" s="132"/>
      <c r="G402" s="132"/>
    </row>
    <row r="403" spans="1:7" ht="17.25" customHeight="1">
      <c r="A403" s="60">
        <v>23110</v>
      </c>
      <c r="B403" s="60">
        <v>2</v>
      </c>
      <c r="C403" s="60" t="s">
        <v>224</v>
      </c>
      <c r="D403" s="60" t="s">
        <v>526</v>
      </c>
      <c r="E403" s="60">
        <v>108</v>
      </c>
      <c r="F403" s="132"/>
      <c r="G403" s="132"/>
    </row>
    <row r="404" spans="1:7" ht="17.25" customHeight="1">
      <c r="A404" s="40">
        <v>23111</v>
      </c>
      <c r="B404" s="40">
        <v>3</v>
      </c>
      <c r="C404" s="190" t="s">
        <v>241</v>
      </c>
      <c r="D404" s="40" t="s">
        <v>527</v>
      </c>
      <c r="E404" s="40">
        <v>590</v>
      </c>
      <c r="F404" s="132"/>
      <c r="G404" s="132"/>
    </row>
    <row r="405" spans="1:7" ht="17.25" customHeight="1">
      <c r="A405" s="40">
        <v>23112</v>
      </c>
      <c r="B405" s="40">
        <v>1</v>
      </c>
      <c r="C405" s="209" t="s">
        <v>245</v>
      </c>
      <c r="D405" s="40" t="s">
        <v>285</v>
      </c>
      <c r="E405" s="40">
        <v>290</v>
      </c>
      <c r="F405" s="132"/>
      <c r="G405" s="132"/>
    </row>
    <row r="406" spans="1:7" ht="17.25" customHeight="1">
      <c r="A406" s="40">
        <v>23113</v>
      </c>
      <c r="B406" s="40">
        <v>1</v>
      </c>
      <c r="C406" s="209" t="s">
        <v>528</v>
      </c>
      <c r="D406" s="40" t="s">
        <v>529</v>
      </c>
      <c r="E406" s="40">
        <v>430</v>
      </c>
      <c r="F406" s="132"/>
      <c r="G406" s="132"/>
    </row>
    <row r="407" spans="1:7" ht="17.25" customHeight="1">
      <c r="A407" s="40"/>
      <c r="B407" s="208">
        <f>SUM(B403:B406)</f>
        <v>7</v>
      </c>
      <c r="C407" s="208"/>
      <c r="D407" s="208"/>
      <c r="E407" s="208">
        <f>SUM(E403:E406)</f>
        <v>1418</v>
      </c>
      <c r="F407" s="132"/>
      <c r="G407" s="132"/>
    </row>
    <row r="408" spans="1:7" ht="17.25" customHeight="1">
      <c r="A408" s="208" t="s">
        <v>14</v>
      </c>
      <c r="B408" s="126">
        <f>B401+B407</f>
        <v>11</v>
      </c>
      <c r="C408" s="126"/>
      <c r="D408" s="126"/>
      <c r="E408" s="126">
        <f>E401+E407</f>
        <v>1752</v>
      </c>
      <c r="F408" s="132"/>
      <c r="G408" s="132"/>
    </row>
    <row r="409" spans="1:7" ht="17.25" customHeight="1">
      <c r="A409" s="211"/>
      <c r="B409" s="127"/>
      <c r="C409" s="128"/>
      <c r="D409" s="126"/>
      <c r="E409" s="126"/>
      <c r="F409" s="132"/>
      <c r="G409" s="132"/>
    </row>
    <row r="410" spans="1:7" ht="26.25" customHeight="1">
      <c r="A410" s="269" t="s">
        <v>537</v>
      </c>
      <c r="B410" s="276"/>
      <c r="C410" s="276"/>
      <c r="D410" s="276"/>
      <c r="E410" s="276"/>
      <c r="F410" s="132"/>
      <c r="G410" s="132"/>
    </row>
    <row r="411" spans="1:7" ht="25.5" customHeight="1">
      <c r="A411" s="40" t="s">
        <v>212</v>
      </c>
      <c r="B411" s="40" t="s">
        <v>213</v>
      </c>
      <c r="C411" s="40" t="s">
        <v>214</v>
      </c>
      <c r="D411" s="40" t="s">
        <v>215</v>
      </c>
      <c r="E411" s="39" t="s">
        <v>216</v>
      </c>
      <c r="F411" s="132"/>
      <c r="G411" s="132"/>
    </row>
    <row r="412" spans="1:7" ht="17.25" customHeight="1">
      <c r="A412" s="273" t="s">
        <v>223</v>
      </c>
      <c r="B412" s="274"/>
      <c r="C412" s="275"/>
      <c r="D412" s="40"/>
      <c r="E412" s="39"/>
      <c r="F412" s="132"/>
      <c r="G412" s="132"/>
    </row>
    <row r="413" spans="1:7" ht="17.25" customHeight="1">
      <c r="A413" s="60">
        <v>23109</v>
      </c>
      <c r="B413" s="60">
        <v>8</v>
      </c>
      <c r="C413" s="40" t="s">
        <v>228</v>
      </c>
      <c r="D413" s="40" t="s">
        <v>525</v>
      </c>
      <c r="E413" s="60">
        <v>894</v>
      </c>
      <c r="F413" s="132"/>
      <c r="G413" s="132"/>
    </row>
    <row r="414" spans="1:7" ht="17.25" customHeight="1">
      <c r="A414" s="40"/>
      <c r="B414" s="208">
        <f>SUM(B413:B413)</f>
        <v>8</v>
      </c>
      <c r="C414" s="208"/>
      <c r="D414" s="208"/>
      <c r="E414" s="208">
        <f>SUM(E413:E413)</f>
        <v>894</v>
      </c>
      <c r="F414" s="132"/>
      <c r="G414" s="132"/>
    </row>
    <row r="415" spans="1:7" ht="17.25" customHeight="1">
      <c r="A415" s="273" t="s">
        <v>217</v>
      </c>
      <c r="B415" s="274"/>
      <c r="C415" s="275"/>
      <c r="D415" s="40"/>
      <c r="E415" s="39"/>
      <c r="F415" s="132"/>
      <c r="G415" s="132"/>
    </row>
    <row r="416" spans="1:7" ht="17.25" customHeight="1">
      <c r="A416" s="60">
        <v>23114</v>
      </c>
      <c r="B416" s="60">
        <v>2</v>
      </c>
      <c r="C416" s="40" t="s">
        <v>228</v>
      </c>
      <c r="D416" s="40" t="s">
        <v>530</v>
      </c>
      <c r="E416" s="60">
        <v>147</v>
      </c>
      <c r="F416" s="132"/>
      <c r="G416" s="132"/>
    </row>
    <row r="417" spans="1:7" ht="17.25" customHeight="1">
      <c r="A417" s="60">
        <v>23114</v>
      </c>
      <c r="B417" s="60">
        <v>1</v>
      </c>
      <c r="C417" s="209" t="s">
        <v>232</v>
      </c>
      <c r="D417" s="70" t="s">
        <v>531</v>
      </c>
      <c r="E417" s="40">
        <v>90</v>
      </c>
      <c r="F417" s="132"/>
      <c r="G417" s="132"/>
    </row>
    <row r="418" spans="1:7" ht="17.25" customHeight="1">
      <c r="A418" s="40"/>
      <c r="B418" s="208">
        <f>SUM(B416:B417)</f>
        <v>3</v>
      </c>
      <c r="C418" s="208"/>
      <c r="D418" s="208"/>
      <c r="E418" s="208">
        <f>SUM(E416:E417)</f>
        <v>237</v>
      </c>
      <c r="F418" s="132"/>
      <c r="G418" s="132"/>
    </row>
    <row r="419" spans="1:7" ht="17.25" customHeight="1">
      <c r="A419" s="273" t="s">
        <v>230</v>
      </c>
      <c r="B419" s="274"/>
      <c r="C419" s="275"/>
      <c r="D419" s="208"/>
      <c r="E419" s="211"/>
      <c r="F419" s="132"/>
      <c r="G419" s="132"/>
    </row>
    <row r="420" spans="1:7" ht="17.25" customHeight="1">
      <c r="A420" s="42">
        <v>23139</v>
      </c>
      <c r="B420" s="60">
        <v>10</v>
      </c>
      <c r="C420" s="40" t="s">
        <v>218</v>
      </c>
      <c r="D420" s="70" t="s">
        <v>538</v>
      </c>
      <c r="E420" s="40">
        <v>675</v>
      </c>
      <c r="F420" s="132"/>
      <c r="G420" s="132"/>
    </row>
    <row r="421" spans="1:7" ht="17.25" customHeight="1">
      <c r="A421" s="40"/>
      <c r="B421" s="208">
        <f>B420</f>
        <v>10</v>
      </c>
      <c r="C421" s="208"/>
      <c r="D421" s="208"/>
      <c r="E421" s="208">
        <f>E420</f>
        <v>675</v>
      </c>
      <c r="F421" s="132"/>
      <c r="G421" s="132"/>
    </row>
    <row r="422" spans="1:7" ht="17.25" customHeight="1">
      <c r="A422" s="208" t="s">
        <v>14</v>
      </c>
      <c r="B422" s="126">
        <f>B414+B418+B421</f>
        <v>21</v>
      </c>
      <c r="C422" s="126"/>
      <c r="D422" s="126"/>
      <c r="E422" s="126">
        <f>E414+E418+E421</f>
        <v>1806</v>
      </c>
      <c r="F422" s="132"/>
      <c r="G422" s="132"/>
    </row>
    <row r="423" spans="1:7" ht="17.25" customHeight="1">
      <c r="A423" s="211"/>
      <c r="B423" s="127"/>
      <c r="C423" s="128"/>
      <c r="D423" s="126"/>
      <c r="E423" s="126"/>
      <c r="F423" s="132"/>
      <c r="G423" s="132"/>
    </row>
    <row r="424" spans="1:7" ht="33.75" customHeight="1">
      <c r="A424" s="269" t="s">
        <v>552</v>
      </c>
      <c r="B424" s="276"/>
      <c r="C424" s="276"/>
      <c r="D424" s="276"/>
      <c r="E424" s="276"/>
      <c r="F424" s="132"/>
      <c r="G424" s="132"/>
    </row>
    <row r="425" spans="1:7" ht="23.25" customHeight="1">
      <c r="A425" s="40" t="s">
        <v>212</v>
      </c>
      <c r="B425" s="40" t="s">
        <v>213</v>
      </c>
      <c r="C425" s="40" t="s">
        <v>214</v>
      </c>
      <c r="D425" s="40" t="s">
        <v>215</v>
      </c>
      <c r="E425" s="39" t="s">
        <v>216</v>
      </c>
      <c r="F425" s="132"/>
      <c r="G425" s="132"/>
    </row>
    <row r="426" spans="1:7" ht="17.25" customHeight="1">
      <c r="A426" s="273" t="s">
        <v>223</v>
      </c>
      <c r="B426" s="274"/>
      <c r="C426" s="275"/>
      <c r="D426" s="40"/>
      <c r="E426" s="39"/>
      <c r="F426" s="132"/>
      <c r="G426" s="132"/>
    </row>
    <row r="427" spans="1:7" ht="17.25" customHeight="1">
      <c r="A427" s="70">
        <v>2</v>
      </c>
      <c r="B427" s="91">
        <v>2</v>
      </c>
      <c r="C427" s="60" t="s">
        <v>224</v>
      </c>
      <c r="D427" s="188" t="s">
        <v>544</v>
      </c>
      <c r="E427" s="70">
        <v>116</v>
      </c>
      <c r="F427" s="132"/>
      <c r="G427" s="132"/>
    </row>
    <row r="428" spans="1:7" ht="17.25" customHeight="1">
      <c r="A428" s="70">
        <v>3</v>
      </c>
      <c r="B428" s="60">
        <v>8</v>
      </c>
      <c r="C428" s="91" t="s">
        <v>225</v>
      </c>
      <c r="D428" s="60" t="s">
        <v>545</v>
      </c>
      <c r="E428" s="40">
        <v>646</v>
      </c>
      <c r="F428" s="132"/>
      <c r="G428" s="132"/>
    </row>
    <row r="429" spans="1:7" ht="17.25" customHeight="1">
      <c r="A429" s="70">
        <v>4</v>
      </c>
      <c r="B429" s="91">
        <v>12</v>
      </c>
      <c r="C429" s="60" t="s">
        <v>228</v>
      </c>
      <c r="D429" s="70" t="s">
        <v>546</v>
      </c>
      <c r="E429" s="70">
        <v>1335</v>
      </c>
      <c r="F429" s="132"/>
      <c r="G429" s="132"/>
    </row>
    <row r="430" spans="1:7" ht="17.25" customHeight="1">
      <c r="A430" s="70">
        <v>5</v>
      </c>
      <c r="B430" s="40">
        <v>2</v>
      </c>
      <c r="C430" s="209" t="s">
        <v>553</v>
      </c>
      <c r="D430" s="106" t="s">
        <v>547</v>
      </c>
      <c r="E430" s="187">
        <v>1300</v>
      </c>
      <c r="F430" s="132"/>
      <c r="G430" s="132"/>
    </row>
    <row r="431" spans="1:7" ht="17.25" customHeight="1">
      <c r="A431" s="70">
        <v>6</v>
      </c>
      <c r="B431" s="105">
        <v>2</v>
      </c>
      <c r="C431" s="109" t="s">
        <v>554</v>
      </c>
      <c r="D431" s="105" t="s">
        <v>548</v>
      </c>
      <c r="E431" s="105">
        <v>2000</v>
      </c>
      <c r="F431" s="132"/>
      <c r="G431" s="132"/>
    </row>
    <row r="432" spans="1:7" ht="17.25" customHeight="1">
      <c r="A432" s="40"/>
      <c r="B432" s="208">
        <f>SUM(B427:B431)</f>
        <v>26</v>
      </c>
      <c r="C432" s="208"/>
      <c r="D432" s="208"/>
      <c r="E432" s="208">
        <f>SUM(E427:E431)</f>
        <v>5397</v>
      </c>
      <c r="F432" s="132"/>
      <c r="G432" s="132"/>
    </row>
    <row r="433" spans="1:7" ht="17.25" customHeight="1">
      <c r="A433" s="273" t="s">
        <v>217</v>
      </c>
      <c r="B433" s="274"/>
      <c r="C433" s="275"/>
      <c r="D433" s="40"/>
      <c r="E433" s="39"/>
      <c r="F433" s="132"/>
      <c r="G433" s="132"/>
    </row>
    <row r="434" spans="1:7" ht="17.25" customHeight="1">
      <c r="A434" s="70">
        <v>7</v>
      </c>
      <c r="B434" s="60">
        <v>3</v>
      </c>
      <c r="C434" s="40" t="s">
        <v>224</v>
      </c>
      <c r="D434" s="70" t="s">
        <v>549</v>
      </c>
      <c r="E434" s="40">
        <v>150</v>
      </c>
      <c r="F434" s="132"/>
      <c r="G434" s="132"/>
    </row>
    <row r="435" spans="1:7" ht="17.25" customHeight="1">
      <c r="A435" s="40">
        <v>8</v>
      </c>
      <c r="B435" s="60">
        <v>11</v>
      </c>
      <c r="C435" s="133" t="s">
        <v>232</v>
      </c>
      <c r="D435" s="187" t="s">
        <v>658</v>
      </c>
      <c r="E435" s="40">
        <v>1229</v>
      </c>
      <c r="F435" s="132"/>
      <c r="G435" s="132"/>
    </row>
    <row r="436" spans="1:7" ht="17.25" customHeight="1">
      <c r="A436" s="40">
        <v>9</v>
      </c>
      <c r="B436" s="40">
        <v>6</v>
      </c>
      <c r="C436" s="133" t="s">
        <v>241</v>
      </c>
      <c r="D436" s="187" t="s">
        <v>659</v>
      </c>
      <c r="E436" s="40">
        <v>1229</v>
      </c>
      <c r="F436" s="132"/>
      <c r="G436" s="132"/>
    </row>
    <row r="437" spans="1:7" ht="17.25" customHeight="1">
      <c r="A437" s="140">
        <v>10</v>
      </c>
      <c r="B437" s="105">
        <v>9</v>
      </c>
      <c r="C437" s="109" t="s">
        <v>245</v>
      </c>
      <c r="D437" s="105" t="s">
        <v>551</v>
      </c>
      <c r="E437" s="105">
        <v>2357</v>
      </c>
      <c r="F437" s="132"/>
      <c r="G437" s="132"/>
    </row>
    <row r="438" spans="1:7" ht="17.25" customHeight="1">
      <c r="A438" s="40"/>
      <c r="B438" s="208">
        <f>SUM(B434:B437)</f>
        <v>29</v>
      </c>
      <c r="C438" s="208"/>
      <c r="D438" s="208"/>
      <c r="E438" s="208">
        <f>SUM(E434:E437)</f>
        <v>4965</v>
      </c>
      <c r="F438" s="132"/>
      <c r="G438" s="132"/>
    </row>
    <row r="439" spans="1:7" ht="17.25" customHeight="1">
      <c r="A439" s="273" t="s">
        <v>229</v>
      </c>
      <c r="B439" s="274"/>
      <c r="C439" s="275"/>
      <c r="D439" s="208"/>
      <c r="E439" s="211"/>
      <c r="F439" s="132"/>
      <c r="G439" s="132"/>
    </row>
    <row r="440" spans="1:7" ht="17.25" customHeight="1">
      <c r="A440" s="70">
        <v>1</v>
      </c>
      <c r="B440" s="91">
        <v>3</v>
      </c>
      <c r="C440" s="91" t="s">
        <v>225</v>
      </c>
      <c r="D440" s="70" t="s">
        <v>550</v>
      </c>
      <c r="E440" s="70">
        <v>186</v>
      </c>
      <c r="F440" s="132"/>
      <c r="G440" s="132"/>
    </row>
    <row r="441" spans="1:7" ht="17.25" customHeight="1">
      <c r="A441" s="40"/>
      <c r="B441" s="208">
        <f>B440</f>
        <v>3</v>
      </c>
      <c r="C441" s="208"/>
      <c r="D441" s="208"/>
      <c r="E441" s="208">
        <f>E440</f>
        <v>186</v>
      </c>
      <c r="F441" s="132"/>
      <c r="G441" s="132"/>
    </row>
    <row r="442" spans="1:7" ht="17.25" customHeight="1">
      <c r="A442" s="208" t="s">
        <v>14</v>
      </c>
      <c r="B442" s="126">
        <f>B432+B438+B441</f>
        <v>58</v>
      </c>
      <c r="C442" s="126"/>
      <c r="D442" s="126"/>
      <c r="E442" s="126">
        <f>E432+E438+E441</f>
        <v>10548</v>
      </c>
      <c r="F442" s="126"/>
      <c r="G442" s="126"/>
    </row>
    <row r="443" spans="1:7" ht="17.25" customHeight="1">
      <c r="A443" s="211"/>
      <c r="B443" s="127"/>
      <c r="C443" s="128"/>
      <c r="D443" s="126"/>
      <c r="E443" s="126"/>
      <c r="F443" s="132"/>
      <c r="G443" s="132"/>
    </row>
    <row r="444" spans="1:7" ht="31.5" customHeight="1">
      <c r="A444" s="269" t="s">
        <v>566</v>
      </c>
      <c r="B444" s="276"/>
      <c r="C444" s="276"/>
      <c r="D444" s="276"/>
      <c r="E444" s="276"/>
      <c r="F444" s="132"/>
      <c r="G444" s="132"/>
    </row>
    <row r="445" spans="1:7" ht="24" customHeight="1">
      <c r="A445" s="40" t="s">
        <v>212</v>
      </c>
      <c r="B445" s="40" t="s">
        <v>213</v>
      </c>
      <c r="C445" s="40" t="s">
        <v>214</v>
      </c>
      <c r="D445" s="40" t="s">
        <v>215</v>
      </c>
      <c r="E445" s="39" t="s">
        <v>216</v>
      </c>
      <c r="F445" s="132"/>
      <c r="G445" s="132"/>
    </row>
    <row r="446" spans="1:7" ht="17.25" customHeight="1">
      <c r="A446" s="273" t="s">
        <v>223</v>
      </c>
      <c r="B446" s="274"/>
      <c r="C446" s="275"/>
      <c r="D446" s="40"/>
      <c r="E446" s="39"/>
      <c r="F446" s="132"/>
      <c r="G446" s="132"/>
    </row>
    <row r="447" spans="1:7" ht="17.25" customHeight="1">
      <c r="A447" s="191" t="s">
        <v>555</v>
      </c>
      <c r="B447" s="192">
        <v>1</v>
      </c>
      <c r="C447" s="106" t="s">
        <v>225</v>
      </c>
      <c r="D447" s="192" t="s">
        <v>556</v>
      </c>
      <c r="E447" s="192">
        <v>85</v>
      </c>
      <c r="F447" s="132"/>
      <c r="G447" s="132"/>
    </row>
    <row r="448" spans="1:7" ht="17.25" customHeight="1">
      <c r="A448" s="106" t="s">
        <v>557</v>
      </c>
      <c r="B448" s="106">
        <v>2</v>
      </c>
      <c r="C448" s="106" t="s">
        <v>228</v>
      </c>
      <c r="D448" s="193" t="s">
        <v>558</v>
      </c>
      <c r="E448" s="106">
        <v>244</v>
      </c>
      <c r="F448" s="132"/>
      <c r="G448" s="132"/>
    </row>
    <row r="449" spans="1:7" ht="17.25" customHeight="1">
      <c r="A449" s="40"/>
      <c r="B449" s="208">
        <f>SUM(B447:B448)</f>
        <v>3</v>
      </c>
      <c r="C449" s="208"/>
      <c r="D449" s="208"/>
      <c r="E449" s="208">
        <f>SUM(E447:E448)</f>
        <v>329</v>
      </c>
      <c r="F449" s="132"/>
      <c r="G449" s="132"/>
    </row>
    <row r="450" spans="1:7" ht="17.25" customHeight="1">
      <c r="A450" s="273" t="s">
        <v>217</v>
      </c>
      <c r="B450" s="274"/>
      <c r="C450" s="275"/>
      <c r="D450" s="40"/>
      <c r="E450" s="39"/>
      <c r="F450" s="132"/>
      <c r="G450" s="132"/>
    </row>
    <row r="451" spans="1:7" ht="17.25" customHeight="1">
      <c r="A451" s="110" t="s">
        <v>559</v>
      </c>
      <c r="B451" s="60">
        <v>2</v>
      </c>
      <c r="C451" s="133" t="s">
        <v>232</v>
      </c>
      <c r="D451" s="70" t="s">
        <v>560</v>
      </c>
      <c r="E451" s="40">
        <v>234</v>
      </c>
      <c r="F451" s="132"/>
      <c r="G451" s="132"/>
    </row>
    <row r="452" spans="1:7" ht="17.25" customHeight="1">
      <c r="A452" s="110" t="s">
        <v>559</v>
      </c>
      <c r="B452" s="40">
        <v>2</v>
      </c>
      <c r="C452" s="209" t="s">
        <v>241</v>
      </c>
      <c r="D452" s="40" t="s">
        <v>561</v>
      </c>
      <c r="E452" s="40">
        <v>420</v>
      </c>
      <c r="F452" s="132"/>
      <c r="G452" s="132"/>
    </row>
    <row r="453" spans="1:7" ht="17.25" customHeight="1">
      <c r="A453" s="110" t="s">
        <v>559</v>
      </c>
      <c r="B453" s="40">
        <v>2</v>
      </c>
      <c r="C453" s="209" t="s">
        <v>562</v>
      </c>
      <c r="D453" s="40" t="s">
        <v>563</v>
      </c>
      <c r="E453" s="40">
        <v>555</v>
      </c>
      <c r="F453" s="132"/>
      <c r="G453" s="132"/>
    </row>
    <row r="454" spans="1:7" ht="17.25" customHeight="1">
      <c r="A454" s="194" t="s">
        <v>564</v>
      </c>
      <c r="B454" s="91">
        <v>2</v>
      </c>
      <c r="C454" s="70" t="s">
        <v>228</v>
      </c>
      <c r="D454" s="70" t="s">
        <v>565</v>
      </c>
      <c r="E454" s="70">
        <v>165</v>
      </c>
      <c r="F454" s="132"/>
      <c r="G454" s="132"/>
    </row>
    <row r="455" spans="1:7" ht="17.25" customHeight="1">
      <c r="A455" s="40"/>
      <c r="B455" s="208">
        <f>SUM(B451:B454)</f>
        <v>8</v>
      </c>
      <c r="C455" s="208"/>
      <c r="D455" s="208"/>
      <c r="E455" s="208">
        <f>SUM(E451:E454)</f>
        <v>1374</v>
      </c>
      <c r="F455" s="132"/>
      <c r="G455" s="132"/>
    </row>
    <row r="456" spans="1:7" ht="17.25" customHeight="1">
      <c r="A456" s="208" t="s">
        <v>14</v>
      </c>
      <c r="B456" s="126">
        <f>B449+B455</f>
        <v>11</v>
      </c>
      <c r="C456" s="126"/>
      <c r="D456" s="126"/>
      <c r="E456" s="126">
        <f>E449+E455</f>
        <v>1703</v>
      </c>
      <c r="F456" s="126"/>
      <c r="G456" s="126"/>
    </row>
    <row r="457" spans="1:7" ht="17.25" customHeight="1">
      <c r="A457" s="211"/>
      <c r="B457" s="127"/>
      <c r="C457" s="128"/>
      <c r="D457" s="126"/>
      <c r="E457" s="126"/>
      <c r="F457" s="201"/>
      <c r="G457" s="201"/>
    </row>
    <row r="458" spans="1:7" ht="27.75" customHeight="1">
      <c r="A458" s="269" t="s">
        <v>602</v>
      </c>
      <c r="B458" s="276"/>
      <c r="C458" s="276"/>
      <c r="D458" s="276"/>
      <c r="E458" s="276"/>
      <c r="F458" s="201"/>
      <c r="G458" s="201"/>
    </row>
    <row r="459" spans="1:7" ht="26.25" customHeight="1">
      <c r="A459" s="40" t="s">
        <v>212</v>
      </c>
      <c r="B459" s="40" t="s">
        <v>213</v>
      </c>
      <c r="C459" s="40" t="s">
        <v>214</v>
      </c>
      <c r="D459" s="40" t="s">
        <v>215</v>
      </c>
      <c r="E459" s="39" t="s">
        <v>216</v>
      </c>
      <c r="F459" s="201"/>
      <c r="G459" s="201"/>
    </row>
    <row r="460" spans="1:7" ht="17.25" customHeight="1">
      <c r="A460" s="273" t="s">
        <v>223</v>
      </c>
      <c r="B460" s="274"/>
      <c r="C460" s="275"/>
      <c r="D460" s="40"/>
      <c r="E460" s="39"/>
      <c r="F460" s="201"/>
      <c r="G460" s="201"/>
    </row>
    <row r="461" spans="1:7" ht="17.25" customHeight="1">
      <c r="A461" s="91">
        <v>1294</v>
      </c>
      <c r="B461" s="91">
        <v>2</v>
      </c>
      <c r="C461" s="91" t="s">
        <v>224</v>
      </c>
      <c r="D461" s="70" t="s">
        <v>579</v>
      </c>
      <c r="E461" s="91">
        <v>110</v>
      </c>
      <c r="F461" s="201"/>
      <c r="G461" s="201"/>
    </row>
    <row r="462" spans="1:7" ht="30" customHeight="1">
      <c r="A462" s="70">
        <v>1295</v>
      </c>
      <c r="B462" s="91">
        <v>18</v>
      </c>
      <c r="C462" s="91" t="s">
        <v>581</v>
      </c>
      <c r="D462" s="70" t="s">
        <v>580</v>
      </c>
      <c r="E462" s="70">
        <v>1398</v>
      </c>
      <c r="F462" s="201"/>
      <c r="G462" s="201"/>
    </row>
    <row r="463" spans="1:7" ht="17.25" customHeight="1">
      <c r="A463" s="40"/>
      <c r="B463" s="208">
        <f>SUM(B461:B462)</f>
        <v>20</v>
      </c>
      <c r="C463" s="208"/>
      <c r="D463" s="208"/>
      <c r="E463" s="208">
        <f>SUM(E461:E462)</f>
        <v>1508</v>
      </c>
      <c r="F463" s="201"/>
      <c r="G463" s="201"/>
    </row>
    <row r="464" spans="1:7" ht="17.25" customHeight="1">
      <c r="A464" s="273" t="s">
        <v>217</v>
      </c>
      <c r="B464" s="274"/>
      <c r="C464" s="275"/>
      <c r="D464" s="40"/>
      <c r="E464" s="39"/>
      <c r="F464" s="201"/>
      <c r="G464" s="201"/>
    </row>
    <row r="465" spans="1:7" ht="31.5" customHeight="1">
      <c r="A465" s="139">
        <v>1298</v>
      </c>
      <c r="B465" s="60">
        <v>28</v>
      </c>
      <c r="C465" s="209" t="s">
        <v>582</v>
      </c>
      <c r="D465" s="40" t="s">
        <v>584</v>
      </c>
      <c r="E465" s="105">
        <v>8400</v>
      </c>
      <c r="F465" s="201"/>
      <c r="G465" s="201"/>
    </row>
    <row r="466" spans="1:7" ht="17.25" customHeight="1">
      <c r="A466" s="137">
        <v>1299</v>
      </c>
      <c r="B466" s="91">
        <v>7</v>
      </c>
      <c r="C466" s="209" t="s">
        <v>583</v>
      </c>
      <c r="D466" s="40" t="s">
        <v>585</v>
      </c>
      <c r="E466" s="105">
        <v>3500</v>
      </c>
      <c r="F466" s="201"/>
      <c r="G466" s="201"/>
    </row>
    <row r="467" spans="1:7" ht="30.75" customHeight="1">
      <c r="A467" s="137">
        <v>1300</v>
      </c>
      <c r="B467" s="91">
        <v>9</v>
      </c>
      <c r="C467" s="245" t="s">
        <v>232</v>
      </c>
      <c r="D467" s="40" t="s">
        <v>586</v>
      </c>
      <c r="E467" s="105">
        <v>1120</v>
      </c>
      <c r="F467" s="201"/>
      <c r="G467" s="201"/>
    </row>
    <row r="468" spans="1:7" ht="27" customHeight="1">
      <c r="A468" s="137">
        <v>1301</v>
      </c>
      <c r="B468" s="91">
        <v>6</v>
      </c>
      <c r="C468" s="245" t="s">
        <v>241</v>
      </c>
      <c r="D468" s="40" t="s">
        <v>587</v>
      </c>
      <c r="E468" s="105">
        <v>1280</v>
      </c>
      <c r="F468" s="201"/>
      <c r="G468" s="201"/>
    </row>
    <row r="469" spans="1:7" ht="30" customHeight="1">
      <c r="A469" s="137">
        <v>1302</v>
      </c>
      <c r="B469" s="91">
        <v>8</v>
      </c>
      <c r="C469" s="245" t="s">
        <v>245</v>
      </c>
      <c r="D469" s="40" t="s">
        <v>588</v>
      </c>
      <c r="E469" s="105">
        <v>2175</v>
      </c>
      <c r="F469" s="201"/>
      <c r="G469" s="201"/>
    </row>
    <row r="470" spans="1:7" ht="17.25" customHeight="1">
      <c r="A470" s="139">
        <v>1296</v>
      </c>
      <c r="B470" s="60">
        <v>25</v>
      </c>
      <c r="C470" s="40" t="s">
        <v>218</v>
      </c>
      <c r="D470" s="106" t="s">
        <v>226</v>
      </c>
      <c r="E470" s="60">
        <v>1418</v>
      </c>
      <c r="F470" s="201"/>
      <c r="G470" s="201"/>
    </row>
    <row r="471" spans="1:7" ht="17.25" customHeight="1">
      <c r="A471" s="246">
        <v>1297</v>
      </c>
      <c r="B471" s="91">
        <v>11</v>
      </c>
      <c r="C471" s="40" t="s">
        <v>218</v>
      </c>
      <c r="D471" s="106" t="s">
        <v>476</v>
      </c>
      <c r="E471" s="91">
        <v>630</v>
      </c>
      <c r="F471" s="201"/>
      <c r="G471" s="201"/>
    </row>
    <row r="472" spans="1:7" ht="17.25" customHeight="1">
      <c r="A472" s="40"/>
      <c r="B472" s="208">
        <f>SUM(B465:B471)</f>
        <v>94</v>
      </c>
      <c r="C472" s="208"/>
      <c r="D472" s="208"/>
      <c r="E472" s="208">
        <f>SUM(E465:E471)</f>
        <v>18523</v>
      </c>
      <c r="F472" s="201"/>
      <c r="G472" s="201"/>
    </row>
    <row r="473" spans="1:7" ht="17.25" customHeight="1">
      <c r="A473" s="208" t="s">
        <v>14</v>
      </c>
      <c r="B473" s="126">
        <f>B463+B472</f>
        <v>114</v>
      </c>
      <c r="C473" s="126"/>
      <c r="D473" s="126"/>
      <c r="E473" s="126">
        <f>E463+E472</f>
        <v>20031</v>
      </c>
      <c r="F473" s="201"/>
      <c r="G473" s="201"/>
    </row>
    <row r="474" spans="1:7" ht="17.25" customHeight="1">
      <c r="A474" s="211"/>
      <c r="B474" s="127"/>
      <c r="C474" s="128"/>
      <c r="D474" s="126"/>
      <c r="E474" s="126"/>
      <c r="F474" s="201"/>
      <c r="G474" s="201"/>
    </row>
    <row r="475" spans="1:7" ht="28.5" customHeight="1">
      <c r="A475" s="269" t="s">
        <v>603</v>
      </c>
      <c r="B475" s="276"/>
      <c r="C475" s="276"/>
      <c r="D475" s="276"/>
      <c r="E475" s="276"/>
      <c r="F475" s="201"/>
      <c r="G475" s="201"/>
    </row>
    <row r="476" spans="1:7" ht="22.5" customHeight="1">
      <c r="A476" s="40" t="s">
        <v>212</v>
      </c>
      <c r="B476" s="40" t="s">
        <v>213</v>
      </c>
      <c r="C476" s="40" t="s">
        <v>214</v>
      </c>
      <c r="D476" s="40" t="s">
        <v>215</v>
      </c>
      <c r="E476" s="39" t="s">
        <v>216</v>
      </c>
      <c r="F476" s="201"/>
      <c r="G476" s="201"/>
    </row>
    <row r="477" spans="1:7" ht="17.25" customHeight="1">
      <c r="A477" s="273" t="s">
        <v>217</v>
      </c>
      <c r="B477" s="274"/>
      <c r="C477" s="275"/>
      <c r="D477" s="208"/>
      <c r="E477" s="211"/>
      <c r="F477" s="201"/>
      <c r="G477" s="201"/>
    </row>
    <row r="478" spans="1:7" ht="17.25" customHeight="1">
      <c r="A478" s="247">
        <v>116</v>
      </c>
      <c r="B478" s="248">
        <v>8</v>
      </c>
      <c r="C478" s="249" t="s">
        <v>440</v>
      </c>
      <c r="D478" s="250" t="s">
        <v>592</v>
      </c>
      <c r="E478" s="251">
        <v>904</v>
      </c>
      <c r="F478" s="201"/>
      <c r="G478" s="201"/>
    </row>
    <row r="479" spans="1:7" ht="35.25" customHeight="1">
      <c r="A479" s="112">
        <v>117</v>
      </c>
      <c r="B479" s="113">
        <v>23</v>
      </c>
      <c r="C479" s="125" t="s">
        <v>241</v>
      </c>
      <c r="D479" s="118" t="s">
        <v>589</v>
      </c>
      <c r="E479" s="117">
        <v>4905</v>
      </c>
      <c r="F479" s="201"/>
      <c r="G479" s="201"/>
    </row>
    <row r="480" spans="1:7" ht="17.25" customHeight="1">
      <c r="A480" s="112">
        <v>111</v>
      </c>
      <c r="B480" s="113">
        <v>25</v>
      </c>
      <c r="C480" s="114" t="s">
        <v>218</v>
      </c>
      <c r="D480" s="118" t="s">
        <v>226</v>
      </c>
      <c r="E480" s="117">
        <v>1122</v>
      </c>
      <c r="F480" s="201"/>
      <c r="G480" s="201"/>
    </row>
    <row r="481" spans="1:7" ht="17.25" customHeight="1">
      <c r="A481" s="113">
        <v>112</v>
      </c>
      <c r="B481" s="113">
        <v>16</v>
      </c>
      <c r="C481" s="114" t="s">
        <v>218</v>
      </c>
      <c r="D481" s="118" t="s">
        <v>590</v>
      </c>
      <c r="E481" s="114">
        <v>732</v>
      </c>
      <c r="F481" s="201"/>
      <c r="G481" s="201"/>
    </row>
    <row r="482" spans="1:7" ht="17.25" customHeight="1">
      <c r="A482" s="112">
        <v>113</v>
      </c>
      <c r="B482" s="113">
        <v>25</v>
      </c>
      <c r="C482" s="114" t="s">
        <v>218</v>
      </c>
      <c r="D482" s="118" t="s">
        <v>226</v>
      </c>
      <c r="E482" s="105">
        <v>1122</v>
      </c>
      <c r="F482" s="201"/>
      <c r="G482" s="201"/>
    </row>
    <row r="483" spans="1:7" ht="17.25" customHeight="1">
      <c r="A483" s="113">
        <v>114</v>
      </c>
      <c r="B483" s="113">
        <v>25</v>
      </c>
      <c r="C483" s="114" t="s">
        <v>218</v>
      </c>
      <c r="D483" s="118" t="s">
        <v>226</v>
      </c>
      <c r="E483" s="105">
        <v>1132</v>
      </c>
      <c r="F483" s="201"/>
      <c r="G483" s="201"/>
    </row>
    <row r="484" spans="1:7" ht="17.25" customHeight="1">
      <c r="A484" s="113">
        <v>115</v>
      </c>
      <c r="B484" s="113">
        <v>10</v>
      </c>
      <c r="C484" s="114" t="s">
        <v>218</v>
      </c>
      <c r="D484" s="118" t="s">
        <v>591</v>
      </c>
      <c r="E484" s="105">
        <v>449</v>
      </c>
      <c r="F484" s="201"/>
      <c r="G484" s="201"/>
    </row>
    <row r="485" spans="1:7" ht="17.25" customHeight="1">
      <c r="A485" s="202"/>
      <c r="B485" s="204">
        <f>SUM(B478:B484)</f>
        <v>132</v>
      </c>
      <c r="C485" s="204"/>
      <c r="D485" s="204"/>
      <c r="E485" s="204">
        <f>SUM(E478:E484)</f>
        <v>10366</v>
      </c>
      <c r="F485" s="201"/>
      <c r="G485" s="201"/>
    </row>
    <row r="486" spans="1:7" ht="17.25" customHeight="1">
      <c r="A486" s="208" t="s">
        <v>14</v>
      </c>
      <c r="B486" s="126">
        <f>SUM(B478:B484)</f>
        <v>132</v>
      </c>
      <c r="C486" s="126"/>
      <c r="D486" s="126"/>
      <c r="E486" s="126">
        <f>SUM(E478:E484)</f>
        <v>10366</v>
      </c>
      <c r="F486" s="201"/>
      <c r="G486" s="201"/>
    </row>
    <row r="487" spans="1:7" ht="17.25" customHeight="1">
      <c r="A487" s="211"/>
      <c r="B487" s="127"/>
      <c r="C487" s="128"/>
      <c r="D487" s="126"/>
      <c r="E487" s="126"/>
      <c r="F487" s="201"/>
      <c r="G487" s="201"/>
    </row>
    <row r="488" spans="1:7" ht="29.25" customHeight="1">
      <c r="A488" s="269" t="s">
        <v>652</v>
      </c>
      <c r="B488" s="276"/>
      <c r="C488" s="276"/>
      <c r="D488" s="276"/>
      <c r="E488" s="276"/>
      <c r="F488" s="201"/>
      <c r="G488" s="201"/>
    </row>
    <row r="489" spans="1:7" ht="25.5" customHeight="1">
      <c r="A489" s="40" t="s">
        <v>212</v>
      </c>
      <c r="B489" s="40" t="s">
        <v>213</v>
      </c>
      <c r="C489" s="40" t="s">
        <v>214</v>
      </c>
      <c r="D489" s="40" t="s">
        <v>215</v>
      </c>
      <c r="E489" s="39" t="s">
        <v>216</v>
      </c>
      <c r="F489" s="201"/>
      <c r="G489" s="201"/>
    </row>
    <row r="490" spans="1:7" ht="17.25" customHeight="1">
      <c r="A490" s="273" t="s">
        <v>223</v>
      </c>
      <c r="B490" s="274"/>
      <c r="C490" s="275"/>
      <c r="D490" s="40"/>
      <c r="E490" s="39"/>
      <c r="F490" s="201"/>
      <c r="G490" s="201"/>
    </row>
    <row r="491" spans="1:8" s="203" customFormat="1" ht="27" customHeight="1">
      <c r="A491" s="70">
        <v>1407</v>
      </c>
      <c r="B491" s="91">
        <v>25</v>
      </c>
      <c r="C491" s="91" t="s">
        <v>225</v>
      </c>
      <c r="D491" s="70" t="s">
        <v>593</v>
      </c>
      <c r="E491" s="70">
        <v>1889</v>
      </c>
      <c r="F491" s="201"/>
      <c r="G491" s="201"/>
      <c r="H491" s="100"/>
    </row>
    <row r="492" spans="1:8" s="203" customFormat="1" ht="46.5" customHeight="1">
      <c r="A492" s="70">
        <v>1408</v>
      </c>
      <c r="B492" s="91">
        <v>25</v>
      </c>
      <c r="C492" s="91" t="s">
        <v>225</v>
      </c>
      <c r="D492" s="70" t="s">
        <v>600</v>
      </c>
      <c r="E492" s="40">
        <v>1872</v>
      </c>
      <c r="F492" s="201"/>
      <c r="G492" s="201"/>
      <c r="H492" s="100"/>
    </row>
    <row r="493" spans="1:8" s="203" customFormat="1" ht="27" customHeight="1">
      <c r="A493" s="70">
        <v>1409</v>
      </c>
      <c r="B493" s="91">
        <v>25</v>
      </c>
      <c r="C493" s="91" t="s">
        <v>225</v>
      </c>
      <c r="D493" s="40" t="s">
        <v>594</v>
      </c>
      <c r="E493" s="40">
        <v>1911</v>
      </c>
      <c r="F493" s="201"/>
      <c r="G493" s="201"/>
      <c r="H493" s="100"/>
    </row>
    <row r="494" spans="1:8" s="203" customFormat="1" ht="27" customHeight="1">
      <c r="A494" s="70">
        <v>1410</v>
      </c>
      <c r="B494" s="91">
        <v>25</v>
      </c>
      <c r="C494" s="91" t="s">
        <v>225</v>
      </c>
      <c r="D494" s="40" t="s">
        <v>595</v>
      </c>
      <c r="E494" s="40">
        <v>1867</v>
      </c>
      <c r="F494" s="201"/>
      <c r="G494" s="201"/>
      <c r="H494" s="100"/>
    </row>
    <row r="495" spans="1:8" s="203" customFormat="1" ht="42.75" customHeight="1">
      <c r="A495" s="70">
        <v>1411</v>
      </c>
      <c r="B495" s="91">
        <v>25</v>
      </c>
      <c r="C495" s="91" t="s">
        <v>225</v>
      </c>
      <c r="D495" s="40" t="s">
        <v>596</v>
      </c>
      <c r="E495" s="40">
        <v>1867</v>
      </c>
      <c r="F495" s="201"/>
      <c r="G495" s="201"/>
      <c r="H495" s="100"/>
    </row>
    <row r="496" spans="1:8" s="203" customFormat="1" ht="27" customHeight="1">
      <c r="A496" s="70">
        <v>1412</v>
      </c>
      <c r="B496" s="91">
        <v>25</v>
      </c>
      <c r="C496" s="91" t="s">
        <v>225</v>
      </c>
      <c r="D496" s="40" t="s">
        <v>597</v>
      </c>
      <c r="E496" s="40">
        <v>1911</v>
      </c>
      <c r="F496" s="201"/>
      <c r="G496" s="201"/>
      <c r="H496" s="100"/>
    </row>
    <row r="497" spans="1:8" s="203" customFormat="1" ht="27" customHeight="1">
      <c r="A497" s="70">
        <v>1413</v>
      </c>
      <c r="B497" s="91">
        <v>13</v>
      </c>
      <c r="C497" s="91" t="s">
        <v>225</v>
      </c>
      <c r="D497" s="40" t="s">
        <v>598</v>
      </c>
      <c r="E497" s="40">
        <v>972</v>
      </c>
      <c r="F497" s="201"/>
      <c r="G497" s="201"/>
      <c r="H497" s="100"/>
    </row>
    <row r="498" spans="1:7" ht="17.25" customHeight="1">
      <c r="A498" s="40"/>
      <c r="B498" s="208">
        <f>SUM(B491:B497)</f>
        <v>163</v>
      </c>
      <c r="C498" s="208"/>
      <c r="D498" s="208"/>
      <c r="E498" s="208">
        <f>SUM(E491:E497)</f>
        <v>12289</v>
      </c>
      <c r="F498" s="201"/>
      <c r="G498" s="201"/>
    </row>
    <row r="499" spans="1:7" ht="17.25" customHeight="1">
      <c r="A499" s="273" t="s">
        <v>217</v>
      </c>
      <c r="B499" s="274"/>
      <c r="C499" s="275"/>
      <c r="D499" s="40"/>
      <c r="E499" s="39"/>
      <c r="F499" s="201"/>
      <c r="G499" s="201"/>
    </row>
    <row r="500" spans="1:7" ht="17.25" customHeight="1">
      <c r="A500" s="40">
        <v>1414</v>
      </c>
      <c r="B500" s="40">
        <v>15</v>
      </c>
      <c r="C500" s="209" t="s">
        <v>599</v>
      </c>
      <c r="D500" s="40" t="s">
        <v>601</v>
      </c>
      <c r="E500" s="40">
        <v>1648</v>
      </c>
      <c r="F500" s="201"/>
      <c r="G500" s="201"/>
    </row>
    <row r="501" spans="1:7" ht="17.25" customHeight="1">
      <c r="A501" s="40"/>
      <c r="B501" s="208">
        <f>SUM(B500:B500)</f>
        <v>15</v>
      </c>
      <c r="C501" s="208"/>
      <c r="D501" s="208"/>
      <c r="E501" s="208">
        <f>SUM(E500:E500)</f>
        <v>1648</v>
      </c>
      <c r="F501" s="201"/>
      <c r="G501" s="201"/>
    </row>
    <row r="502" spans="1:7" ht="17.25" customHeight="1">
      <c r="A502" s="208" t="s">
        <v>14</v>
      </c>
      <c r="B502" s="126">
        <f>B498+B501</f>
        <v>178</v>
      </c>
      <c r="C502" s="126"/>
      <c r="D502" s="126"/>
      <c r="E502" s="126">
        <f>E498+E501</f>
        <v>13937</v>
      </c>
      <c r="F502" s="201"/>
      <c r="G502" s="201"/>
    </row>
    <row r="503" spans="1:7" ht="17.25" customHeight="1">
      <c r="A503" s="211"/>
      <c r="B503" s="127"/>
      <c r="C503" s="128"/>
      <c r="D503" s="126"/>
      <c r="E503" s="126"/>
      <c r="F503" s="201"/>
      <c r="G503" s="201"/>
    </row>
    <row r="504" spans="1:7" ht="26.25" customHeight="1">
      <c r="A504" s="269" t="s">
        <v>670</v>
      </c>
      <c r="B504" s="276"/>
      <c r="C504" s="276"/>
      <c r="D504" s="276"/>
      <c r="E504" s="276"/>
      <c r="F504" s="201"/>
      <c r="G504" s="201"/>
    </row>
    <row r="505" spans="1:7" ht="28.5" customHeight="1">
      <c r="A505" s="40" t="s">
        <v>212</v>
      </c>
      <c r="B505" s="40" t="s">
        <v>213</v>
      </c>
      <c r="C505" s="40" t="s">
        <v>214</v>
      </c>
      <c r="D505" s="40" t="s">
        <v>215</v>
      </c>
      <c r="E505" s="39" t="s">
        <v>216</v>
      </c>
      <c r="F505" s="201"/>
      <c r="G505" s="201"/>
    </row>
    <row r="506" spans="1:7" ht="17.25" customHeight="1">
      <c r="A506" s="273" t="s">
        <v>223</v>
      </c>
      <c r="B506" s="274"/>
      <c r="C506" s="275"/>
      <c r="D506" s="40"/>
      <c r="E506" s="39"/>
      <c r="F506" s="201"/>
      <c r="G506" s="201"/>
    </row>
    <row r="507" spans="1:7" ht="17.25" customHeight="1">
      <c r="A507" s="60" t="s">
        <v>605</v>
      </c>
      <c r="B507" s="60">
        <v>11</v>
      </c>
      <c r="C507" s="60" t="s">
        <v>224</v>
      </c>
      <c r="D507" s="106" t="s">
        <v>606</v>
      </c>
      <c r="E507" s="187">
        <v>653.7</v>
      </c>
      <c r="F507" s="201"/>
      <c r="G507" s="201"/>
    </row>
    <row r="508" spans="1:7" ht="17.25" customHeight="1">
      <c r="A508" s="60" t="s">
        <v>607</v>
      </c>
      <c r="B508" s="60">
        <v>3</v>
      </c>
      <c r="C508" s="60" t="s">
        <v>218</v>
      </c>
      <c r="D508" s="106" t="s">
        <v>608</v>
      </c>
      <c r="E508" s="187">
        <v>235.05</v>
      </c>
      <c r="F508" s="201"/>
      <c r="G508" s="201"/>
    </row>
    <row r="509" spans="1:7" ht="17.25" customHeight="1">
      <c r="A509" s="60" t="s">
        <v>609</v>
      </c>
      <c r="B509" s="60">
        <v>1</v>
      </c>
      <c r="C509" s="40" t="s">
        <v>614</v>
      </c>
      <c r="D509" s="106" t="s">
        <v>615</v>
      </c>
      <c r="E509" s="187">
        <v>50</v>
      </c>
      <c r="F509" s="201"/>
      <c r="G509" s="201"/>
    </row>
    <row r="510" spans="1:7" ht="17.25" customHeight="1">
      <c r="A510" s="40"/>
      <c r="B510" s="208">
        <f>SUM(B507:B509)</f>
        <v>15</v>
      </c>
      <c r="C510" s="208"/>
      <c r="D510" s="208"/>
      <c r="E510" s="208">
        <f>SUM(E507:E509)</f>
        <v>938.75</v>
      </c>
      <c r="F510" s="201"/>
      <c r="G510" s="201"/>
    </row>
    <row r="511" spans="1:7" ht="17.25" customHeight="1">
      <c r="A511" s="273" t="s">
        <v>217</v>
      </c>
      <c r="B511" s="274"/>
      <c r="C511" s="275"/>
      <c r="D511" s="40"/>
      <c r="E511" s="39"/>
      <c r="F511" s="201"/>
      <c r="G511" s="201"/>
    </row>
    <row r="512" spans="1:7" ht="17.25" customHeight="1">
      <c r="A512" s="60" t="s">
        <v>610</v>
      </c>
      <c r="B512" s="60">
        <v>5</v>
      </c>
      <c r="C512" s="40" t="s">
        <v>224</v>
      </c>
      <c r="D512" s="106" t="s">
        <v>611</v>
      </c>
      <c r="E512" s="187">
        <v>300</v>
      </c>
      <c r="F512" s="201"/>
      <c r="G512" s="201"/>
    </row>
    <row r="513" spans="1:7" ht="17.25" customHeight="1">
      <c r="A513" s="60" t="s">
        <v>612</v>
      </c>
      <c r="B513" s="60">
        <v>5</v>
      </c>
      <c r="C513" s="40" t="s">
        <v>619</v>
      </c>
      <c r="D513" s="106" t="s">
        <v>617</v>
      </c>
      <c r="E513" s="187">
        <v>304</v>
      </c>
      <c r="F513" s="201"/>
      <c r="G513" s="201"/>
    </row>
    <row r="514" spans="1:7" ht="17.25" customHeight="1">
      <c r="A514" s="60" t="s">
        <v>613</v>
      </c>
      <c r="B514" s="60">
        <v>4</v>
      </c>
      <c r="C514" s="40" t="s">
        <v>616</v>
      </c>
      <c r="D514" s="106" t="s">
        <v>618</v>
      </c>
      <c r="E514" s="187">
        <v>165</v>
      </c>
      <c r="F514" s="201"/>
      <c r="G514" s="201"/>
    </row>
    <row r="515" spans="1:7" ht="17.25" customHeight="1">
      <c r="A515" s="40"/>
      <c r="B515" s="208">
        <f>SUM(B512:B514)</f>
        <v>14</v>
      </c>
      <c r="C515" s="208"/>
      <c r="D515" s="208"/>
      <c r="E515" s="208">
        <f>SUM(E512:E514)</f>
        <v>769</v>
      </c>
      <c r="F515" s="201"/>
      <c r="G515" s="201"/>
    </row>
    <row r="516" spans="1:7" ht="17.25" customHeight="1">
      <c r="A516" s="208" t="s">
        <v>14</v>
      </c>
      <c r="B516" s="126">
        <f>B510+B515</f>
        <v>29</v>
      </c>
      <c r="C516" s="126"/>
      <c r="D516" s="126"/>
      <c r="E516" s="126">
        <f>E510+E515</f>
        <v>1707.75</v>
      </c>
      <c r="F516" s="201"/>
      <c r="G516" s="201"/>
    </row>
    <row r="517" spans="1:7" ht="17.25" customHeight="1">
      <c r="A517" s="211"/>
      <c r="B517" s="127"/>
      <c r="C517" s="128"/>
      <c r="D517" s="126"/>
      <c r="E517" s="126"/>
      <c r="F517" s="201"/>
      <c r="G517" s="201"/>
    </row>
    <row r="518" spans="1:7" ht="26.25" customHeight="1">
      <c r="A518" s="269" t="s">
        <v>671</v>
      </c>
      <c r="B518" s="276"/>
      <c r="C518" s="276"/>
      <c r="D518" s="276"/>
      <c r="E518" s="276"/>
      <c r="F518" s="201"/>
      <c r="G518" s="201"/>
    </row>
    <row r="519" spans="1:7" ht="26.25" customHeight="1">
      <c r="A519" s="40" t="s">
        <v>212</v>
      </c>
      <c r="B519" s="40" t="s">
        <v>213</v>
      </c>
      <c r="C519" s="40" t="s">
        <v>214</v>
      </c>
      <c r="D519" s="40" t="s">
        <v>215</v>
      </c>
      <c r="E519" s="39" t="s">
        <v>216</v>
      </c>
      <c r="F519" s="201"/>
      <c r="G519" s="201"/>
    </row>
    <row r="520" spans="1:7" ht="17.25" customHeight="1">
      <c r="A520" s="273" t="s">
        <v>223</v>
      </c>
      <c r="B520" s="274"/>
      <c r="C520" s="275"/>
      <c r="D520" s="40"/>
      <c r="E520" s="39"/>
      <c r="F520" s="201"/>
      <c r="G520" s="201"/>
    </row>
    <row r="521" spans="1:7" ht="17.25" customHeight="1">
      <c r="A521" s="252">
        <v>581</v>
      </c>
      <c r="B521" s="106">
        <v>1</v>
      </c>
      <c r="C521" s="106" t="s">
        <v>225</v>
      </c>
      <c r="D521" s="106" t="s">
        <v>620</v>
      </c>
      <c r="E521" s="106">
        <v>85</v>
      </c>
      <c r="F521" s="201"/>
      <c r="G521" s="201"/>
    </row>
    <row r="522" spans="1:7" ht="17.25" customHeight="1">
      <c r="A522" s="60">
        <v>583</v>
      </c>
      <c r="B522" s="187">
        <v>2</v>
      </c>
      <c r="C522" s="187" t="s">
        <v>228</v>
      </c>
      <c r="D522" s="106" t="s">
        <v>621</v>
      </c>
      <c r="E522" s="187">
        <v>223</v>
      </c>
      <c r="F522" s="201"/>
      <c r="G522" s="201"/>
    </row>
    <row r="523" spans="1:7" ht="17.25" customHeight="1">
      <c r="A523" s="40"/>
      <c r="B523" s="208">
        <f>SUM(B521:B522)</f>
        <v>3</v>
      </c>
      <c r="C523" s="208"/>
      <c r="D523" s="208"/>
      <c r="E523" s="208">
        <f>SUM(E521:E522)</f>
        <v>308</v>
      </c>
      <c r="F523" s="201"/>
      <c r="G523" s="201"/>
    </row>
    <row r="524" spans="1:7" ht="17.25" customHeight="1">
      <c r="A524" s="273" t="s">
        <v>217</v>
      </c>
      <c r="B524" s="274"/>
      <c r="C524" s="275"/>
      <c r="D524" s="40"/>
      <c r="E524" s="39"/>
      <c r="F524" s="201"/>
      <c r="G524" s="201"/>
    </row>
    <row r="525" spans="1:7" ht="17.25" customHeight="1">
      <c r="A525" s="60">
        <v>590</v>
      </c>
      <c r="B525" s="253">
        <v>3</v>
      </c>
      <c r="C525" s="254" t="s">
        <v>625</v>
      </c>
      <c r="D525" s="187" t="s">
        <v>622</v>
      </c>
      <c r="E525" s="187">
        <v>183</v>
      </c>
      <c r="F525" s="201"/>
      <c r="G525" s="201"/>
    </row>
    <row r="526" spans="1:7" ht="17.25" customHeight="1">
      <c r="A526" s="60">
        <v>584</v>
      </c>
      <c r="B526" s="187">
        <v>2</v>
      </c>
      <c r="C526" s="133" t="s">
        <v>245</v>
      </c>
      <c r="D526" s="106" t="s">
        <v>623</v>
      </c>
      <c r="E526" s="187">
        <v>555</v>
      </c>
      <c r="F526" s="201"/>
      <c r="G526" s="201"/>
    </row>
    <row r="527" spans="1:7" ht="17.25" customHeight="1">
      <c r="A527" s="60">
        <v>585</v>
      </c>
      <c r="B527" s="187">
        <v>10</v>
      </c>
      <c r="C527" s="133" t="s">
        <v>626</v>
      </c>
      <c r="D527" s="106" t="s">
        <v>631</v>
      </c>
      <c r="E527" s="187">
        <v>1500</v>
      </c>
      <c r="F527" s="201"/>
      <c r="G527" s="201"/>
    </row>
    <row r="528" spans="1:7" ht="17.25" customHeight="1">
      <c r="A528" s="60">
        <v>586</v>
      </c>
      <c r="B528" s="187">
        <v>20</v>
      </c>
      <c r="C528" s="133" t="s">
        <v>627</v>
      </c>
      <c r="D528" s="106" t="s">
        <v>632</v>
      </c>
      <c r="E528" s="187">
        <v>2100</v>
      </c>
      <c r="F528" s="201"/>
      <c r="G528" s="201"/>
    </row>
    <row r="529" spans="1:7" ht="17.25" customHeight="1">
      <c r="A529" s="60">
        <v>588</v>
      </c>
      <c r="B529" s="187">
        <v>12</v>
      </c>
      <c r="C529" s="133" t="s">
        <v>628</v>
      </c>
      <c r="D529" s="106" t="s">
        <v>633</v>
      </c>
      <c r="E529" s="187">
        <v>1260</v>
      </c>
      <c r="F529" s="201"/>
      <c r="G529" s="201"/>
    </row>
    <row r="530" spans="1:7" ht="17.25" customHeight="1">
      <c r="A530" s="60">
        <v>589</v>
      </c>
      <c r="B530" s="187">
        <v>4</v>
      </c>
      <c r="C530" s="133" t="s">
        <v>241</v>
      </c>
      <c r="D530" s="106" t="s">
        <v>624</v>
      </c>
      <c r="E530" s="187">
        <v>835</v>
      </c>
      <c r="F530" s="201"/>
      <c r="G530" s="201"/>
    </row>
    <row r="531" spans="1:7" ht="17.25" customHeight="1">
      <c r="A531" s="60">
        <v>579</v>
      </c>
      <c r="B531" s="187">
        <v>20</v>
      </c>
      <c r="C531" s="187" t="s">
        <v>225</v>
      </c>
      <c r="D531" s="187" t="s">
        <v>629</v>
      </c>
      <c r="E531" s="187">
        <v>1200</v>
      </c>
      <c r="F531" s="201"/>
      <c r="G531" s="201"/>
    </row>
    <row r="532" spans="1:7" ht="17.25" customHeight="1">
      <c r="A532" s="60">
        <v>580</v>
      </c>
      <c r="B532" s="187">
        <v>2</v>
      </c>
      <c r="C532" s="187" t="s">
        <v>225</v>
      </c>
      <c r="D532" s="187" t="s">
        <v>306</v>
      </c>
      <c r="E532" s="187">
        <v>120</v>
      </c>
      <c r="F532" s="201"/>
      <c r="G532" s="201"/>
    </row>
    <row r="533" spans="1:7" ht="17.25" customHeight="1">
      <c r="A533" s="40">
        <v>582</v>
      </c>
      <c r="B533" s="187">
        <v>4</v>
      </c>
      <c r="C533" s="254" t="s">
        <v>625</v>
      </c>
      <c r="D533" s="187" t="s">
        <v>630</v>
      </c>
      <c r="E533" s="187">
        <v>180</v>
      </c>
      <c r="F533" s="201"/>
      <c r="G533" s="201"/>
    </row>
    <row r="534" spans="1:7" ht="17.25" customHeight="1">
      <c r="A534" s="60">
        <v>591</v>
      </c>
      <c r="B534" s="187">
        <v>2</v>
      </c>
      <c r="C534" s="187" t="s">
        <v>228</v>
      </c>
      <c r="D534" s="187" t="s">
        <v>306</v>
      </c>
      <c r="E534" s="187">
        <v>158</v>
      </c>
      <c r="F534" s="201"/>
      <c r="G534" s="201"/>
    </row>
    <row r="535" spans="1:7" ht="17.25" customHeight="1">
      <c r="A535" s="40"/>
      <c r="B535" s="208">
        <f>SUM(B525:B534)</f>
        <v>79</v>
      </c>
      <c r="C535" s="208"/>
      <c r="D535" s="208"/>
      <c r="E535" s="208">
        <f>SUM(E525:E534)</f>
        <v>8091</v>
      </c>
      <c r="F535" s="201"/>
      <c r="G535" s="201"/>
    </row>
    <row r="536" spans="1:7" ht="17.25" customHeight="1">
      <c r="A536" s="273" t="s">
        <v>230</v>
      </c>
      <c r="B536" s="274"/>
      <c r="C536" s="275"/>
      <c r="D536" s="208"/>
      <c r="E536" s="208"/>
      <c r="F536" s="201"/>
      <c r="G536" s="201"/>
    </row>
    <row r="537" spans="1:7" ht="17.25" customHeight="1">
      <c r="A537" s="60">
        <v>587</v>
      </c>
      <c r="B537" s="187">
        <v>3</v>
      </c>
      <c r="C537" s="187" t="s">
        <v>225</v>
      </c>
      <c r="D537" s="187" t="s">
        <v>240</v>
      </c>
      <c r="E537" s="187">
        <v>120</v>
      </c>
      <c r="F537" s="201"/>
      <c r="G537" s="201"/>
    </row>
    <row r="538" spans="1:7" ht="17.25" customHeight="1">
      <c r="A538" s="40"/>
      <c r="B538" s="208">
        <f>B537</f>
        <v>3</v>
      </c>
      <c r="C538" s="208"/>
      <c r="D538" s="208"/>
      <c r="E538" s="208">
        <f>E537</f>
        <v>120</v>
      </c>
      <c r="F538" s="201"/>
      <c r="G538" s="201"/>
    </row>
    <row r="539" spans="1:7" ht="17.25" customHeight="1">
      <c r="A539" s="208" t="s">
        <v>14</v>
      </c>
      <c r="B539" s="126">
        <f>B523+B535+B538</f>
        <v>85</v>
      </c>
      <c r="C539" s="126"/>
      <c r="D539" s="126"/>
      <c r="E539" s="126">
        <f>E523+E535+E538</f>
        <v>8519</v>
      </c>
      <c r="F539" s="201"/>
      <c r="G539" s="201"/>
    </row>
    <row r="540" spans="1:7" ht="17.25" customHeight="1">
      <c r="A540" s="211"/>
      <c r="B540" s="127"/>
      <c r="C540" s="128"/>
      <c r="D540" s="126"/>
      <c r="E540" s="126"/>
      <c r="F540" s="201"/>
      <c r="G540" s="201"/>
    </row>
    <row r="541" spans="1:7" ht="29.25" customHeight="1">
      <c r="A541" s="269" t="s">
        <v>672</v>
      </c>
      <c r="B541" s="276"/>
      <c r="C541" s="276"/>
      <c r="D541" s="276"/>
      <c r="E541" s="276"/>
      <c r="F541" s="201"/>
      <c r="G541" s="201"/>
    </row>
    <row r="542" spans="1:7" ht="23.25" customHeight="1">
      <c r="A542" s="40" t="s">
        <v>212</v>
      </c>
      <c r="B542" s="40" t="s">
        <v>213</v>
      </c>
      <c r="C542" s="40" t="s">
        <v>214</v>
      </c>
      <c r="D542" s="40" t="s">
        <v>215</v>
      </c>
      <c r="E542" s="39" t="s">
        <v>216</v>
      </c>
      <c r="F542" s="201"/>
      <c r="G542" s="201"/>
    </row>
    <row r="543" spans="1:7" ht="17.25" customHeight="1">
      <c r="A543" s="273" t="s">
        <v>223</v>
      </c>
      <c r="B543" s="274"/>
      <c r="C543" s="275"/>
      <c r="D543" s="40"/>
      <c r="E543" s="39"/>
      <c r="F543" s="201"/>
      <c r="G543" s="201"/>
    </row>
    <row r="544" spans="1:7" ht="17.25" customHeight="1">
      <c r="A544" s="40">
        <v>909</v>
      </c>
      <c r="B544" s="60">
        <v>8</v>
      </c>
      <c r="C544" s="60" t="s">
        <v>225</v>
      </c>
      <c r="D544" s="40" t="s">
        <v>635</v>
      </c>
      <c r="E544" s="40">
        <v>638</v>
      </c>
      <c r="F544" s="201"/>
      <c r="G544" s="201"/>
    </row>
    <row r="545" spans="1:7" ht="17.25" customHeight="1">
      <c r="A545" s="40">
        <v>910</v>
      </c>
      <c r="B545" s="40">
        <v>5</v>
      </c>
      <c r="C545" s="40" t="s">
        <v>228</v>
      </c>
      <c r="D545" s="40" t="s">
        <v>636</v>
      </c>
      <c r="E545" s="40">
        <v>481</v>
      </c>
      <c r="F545" s="201"/>
      <c r="G545" s="201"/>
    </row>
    <row r="546" spans="1:7" ht="17.25" customHeight="1">
      <c r="A546" s="40"/>
      <c r="B546" s="208">
        <f>SUM(B544:B545)</f>
        <v>13</v>
      </c>
      <c r="C546" s="208"/>
      <c r="D546" s="208"/>
      <c r="E546" s="208">
        <f>SUM(E544:E545)</f>
        <v>1119</v>
      </c>
      <c r="F546" s="201"/>
      <c r="G546" s="201"/>
    </row>
    <row r="547" spans="1:7" ht="17.25" customHeight="1">
      <c r="A547" s="273" t="s">
        <v>217</v>
      </c>
      <c r="B547" s="274"/>
      <c r="C547" s="275"/>
      <c r="D547" s="40"/>
      <c r="E547" s="39"/>
      <c r="F547" s="201"/>
      <c r="G547" s="201"/>
    </row>
    <row r="548" spans="1:7" ht="17.25" customHeight="1">
      <c r="A548" s="40">
        <v>915</v>
      </c>
      <c r="B548" s="60">
        <v>4</v>
      </c>
      <c r="C548" s="133" t="s">
        <v>440</v>
      </c>
      <c r="D548" s="40" t="s">
        <v>637</v>
      </c>
      <c r="E548" s="40">
        <v>419</v>
      </c>
      <c r="F548" s="201"/>
      <c r="G548" s="201"/>
    </row>
    <row r="549" spans="1:7" ht="17.25" customHeight="1">
      <c r="A549" s="40">
        <v>916</v>
      </c>
      <c r="B549" s="60">
        <v>11</v>
      </c>
      <c r="C549" s="133" t="s">
        <v>232</v>
      </c>
      <c r="D549" s="40" t="s">
        <v>638</v>
      </c>
      <c r="E549" s="60">
        <v>1320</v>
      </c>
      <c r="F549" s="201"/>
      <c r="G549" s="201"/>
    </row>
    <row r="550" spans="1:7" ht="17.25" customHeight="1">
      <c r="A550" s="40">
        <v>917</v>
      </c>
      <c r="B550" s="40">
        <v>13</v>
      </c>
      <c r="C550" s="209" t="s">
        <v>241</v>
      </c>
      <c r="D550" s="40" t="s">
        <v>639</v>
      </c>
      <c r="E550" s="60">
        <v>2735</v>
      </c>
      <c r="F550" s="201"/>
      <c r="G550" s="201"/>
    </row>
    <row r="551" spans="1:7" ht="17.25" customHeight="1">
      <c r="A551" s="40">
        <v>918</v>
      </c>
      <c r="B551" s="60">
        <v>6</v>
      </c>
      <c r="C551" s="133" t="s">
        <v>245</v>
      </c>
      <c r="D551" s="70" t="s">
        <v>640</v>
      </c>
      <c r="E551" s="60">
        <v>1455</v>
      </c>
      <c r="F551" s="201"/>
      <c r="G551" s="201"/>
    </row>
    <row r="552" spans="1:7" ht="17.25" customHeight="1">
      <c r="A552" s="40">
        <v>911</v>
      </c>
      <c r="B552" s="60">
        <v>2</v>
      </c>
      <c r="C552" s="60" t="s">
        <v>224</v>
      </c>
      <c r="D552" s="106" t="s">
        <v>306</v>
      </c>
      <c r="E552" s="40">
        <v>106</v>
      </c>
      <c r="F552" s="201"/>
      <c r="G552" s="201"/>
    </row>
    <row r="553" spans="1:7" ht="17.25" customHeight="1">
      <c r="A553" s="40">
        <v>912</v>
      </c>
      <c r="B553" s="40">
        <v>16</v>
      </c>
      <c r="C553" s="40" t="s">
        <v>225</v>
      </c>
      <c r="D553" s="106" t="s">
        <v>657</v>
      </c>
      <c r="E553" s="40">
        <v>862</v>
      </c>
      <c r="F553" s="201"/>
      <c r="G553" s="201"/>
    </row>
    <row r="554" spans="1:7" ht="17.25" customHeight="1">
      <c r="A554" s="40">
        <v>913</v>
      </c>
      <c r="B554" s="40">
        <v>4</v>
      </c>
      <c r="C554" s="40" t="s">
        <v>228</v>
      </c>
      <c r="D554" s="106" t="s">
        <v>630</v>
      </c>
      <c r="E554" s="60">
        <v>332</v>
      </c>
      <c r="F554" s="201"/>
      <c r="G554" s="201"/>
    </row>
    <row r="555" spans="1:7" ht="17.25" customHeight="1">
      <c r="A555" s="40">
        <v>914</v>
      </c>
      <c r="B555" s="60">
        <v>6</v>
      </c>
      <c r="C555" s="133" t="s">
        <v>232</v>
      </c>
      <c r="D555" s="106" t="s">
        <v>641</v>
      </c>
      <c r="E555" s="60">
        <v>637</v>
      </c>
      <c r="F555" s="201"/>
      <c r="G555" s="201"/>
    </row>
    <row r="556" spans="1:7" ht="17.25" customHeight="1">
      <c r="A556" s="40"/>
      <c r="B556" s="208">
        <f>SUM(B548:B555)</f>
        <v>62</v>
      </c>
      <c r="C556" s="208"/>
      <c r="D556" s="208"/>
      <c r="E556" s="208">
        <f>SUM(E548:E555)</f>
        <v>7866</v>
      </c>
      <c r="F556" s="201"/>
      <c r="G556" s="201"/>
    </row>
    <row r="557" spans="1:7" ht="17.25" customHeight="1">
      <c r="A557" s="208" t="s">
        <v>14</v>
      </c>
      <c r="B557" s="126">
        <f>B546+B556</f>
        <v>75</v>
      </c>
      <c r="C557" s="126"/>
      <c r="D557" s="126"/>
      <c r="E557" s="126">
        <f>E546+E556</f>
        <v>8985</v>
      </c>
      <c r="F557" s="201"/>
      <c r="G557" s="201"/>
    </row>
    <row r="558" spans="1:7" ht="17.25" customHeight="1">
      <c r="A558" s="237"/>
      <c r="B558" s="127"/>
      <c r="C558" s="128"/>
      <c r="D558" s="126"/>
      <c r="E558" s="126"/>
      <c r="F558" s="201"/>
      <c r="G558" s="201"/>
    </row>
    <row r="559" spans="1:7" ht="30" customHeight="1">
      <c r="A559" s="269" t="s">
        <v>678</v>
      </c>
      <c r="B559" s="276"/>
      <c r="C559" s="276"/>
      <c r="D559" s="276"/>
      <c r="E559" s="276"/>
      <c r="F559" s="201"/>
      <c r="G559" s="201"/>
    </row>
    <row r="560" spans="1:7" ht="24" customHeight="1">
      <c r="A560" s="40" t="s">
        <v>212</v>
      </c>
      <c r="B560" s="40" t="s">
        <v>213</v>
      </c>
      <c r="C560" s="40" t="s">
        <v>214</v>
      </c>
      <c r="D560" s="40" t="s">
        <v>215</v>
      </c>
      <c r="E560" s="39" t="s">
        <v>216</v>
      </c>
      <c r="F560" s="201"/>
      <c r="G560" s="201"/>
    </row>
    <row r="561" spans="1:7" ht="17.25" customHeight="1">
      <c r="A561" s="273" t="s">
        <v>223</v>
      </c>
      <c r="B561" s="274"/>
      <c r="C561" s="275"/>
      <c r="D561" s="40"/>
      <c r="E561" s="39"/>
      <c r="F561" s="201"/>
      <c r="G561" s="201"/>
    </row>
    <row r="562" spans="1:7" ht="17.25" customHeight="1">
      <c r="A562" s="34">
        <v>437</v>
      </c>
      <c r="B562" s="163">
        <v>14</v>
      </c>
      <c r="C562" s="163" t="s">
        <v>228</v>
      </c>
      <c r="D562" s="163" t="s">
        <v>679</v>
      </c>
      <c r="E562" s="163">
        <v>1605</v>
      </c>
      <c r="F562" s="201"/>
      <c r="G562" s="201"/>
    </row>
    <row r="563" spans="1:7" ht="17.25" customHeight="1">
      <c r="A563" s="34">
        <v>437</v>
      </c>
      <c r="B563" s="163">
        <v>1</v>
      </c>
      <c r="C563" s="163" t="s">
        <v>225</v>
      </c>
      <c r="D563" s="163" t="s">
        <v>674</v>
      </c>
      <c r="E563" s="163">
        <v>87</v>
      </c>
      <c r="F563" s="201"/>
      <c r="G563" s="201"/>
    </row>
    <row r="564" spans="1:7" ht="17.25" customHeight="1">
      <c r="A564" s="40"/>
      <c r="B564" s="236">
        <f>SUM(B562:B563)</f>
        <v>15</v>
      </c>
      <c r="C564" s="236"/>
      <c r="D564" s="236"/>
      <c r="E564" s="236">
        <f>SUM(E562:E563)</f>
        <v>1692</v>
      </c>
      <c r="F564" s="201"/>
      <c r="G564" s="201"/>
    </row>
    <row r="565" spans="1:7" ht="17.25" customHeight="1">
      <c r="A565" s="273" t="s">
        <v>217</v>
      </c>
      <c r="B565" s="274"/>
      <c r="C565" s="275"/>
      <c r="D565" s="40"/>
      <c r="E565" s="39"/>
      <c r="F565" s="201"/>
      <c r="G565" s="201"/>
    </row>
    <row r="566" spans="1:7" ht="17.25" customHeight="1">
      <c r="A566" s="34">
        <v>439</v>
      </c>
      <c r="B566" s="163">
        <v>1</v>
      </c>
      <c r="C566" s="257" t="s">
        <v>232</v>
      </c>
      <c r="D566" s="163" t="s">
        <v>675</v>
      </c>
      <c r="E566" s="163">
        <v>120</v>
      </c>
      <c r="F566" s="201"/>
      <c r="G566" s="201"/>
    </row>
    <row r="567" spans="1:7" ht="17.25" customHeight="1">
      <c r="A567" s="34">
        <v>439</v>
      </c>
      <c r="B567" s="163">
        <v>1</v>
      </c>
      <c r="C567" s="257" t="s">
        <v>241</v>
      </c>
      <c r="D567" s="163" t="s">
        <v>676</v>
      </c>
      <c r="E567" s="163">
        <v>231</v>
      </c>
      <c r="F567" s="201"/>
      <c r="G567" s="201"/>
    </row>
    <row r="568" spans="1:7" ht="17.25" customHeight="1">
      <c r="A568" s="34">
        <v>438</v>
      </c>
      <c r="B568" s="163">
        <v>5</v>
      </c>
      <c r="C568" s="163" t="s">
        <v>228</v>
      </c>
      <c r="D568" s="163" t="s">
        <v>305</v>
      </c>
      <c r="E568" s="256">
        <v>450</v>
      </c>
      <c r="F568" s="201"/>
      <c r="G568" s="201"/>
    </row>
    <row r="569" spans="1:7" ht="17.25" customHeight="1">
      <c r="A569" s="34">
        <v>438</v>
      </c>
      <c r="B569" s="163">
        <v>1</v>
      </c>
      <c r="C569" s="257" t="s">
        <v>232</v>
      </c>
      <c r="D569" s="163" t="s">
        <v>677</v>
      </c>
      <c r="E569" s="256">
        <v>104</v>
      </c>
      <c r="F569" s="201"/>
      <c r="G569" s="201"/>
    </row>
    <row r="570" spans="1:7" ht="17.25" customHeight="1">
      <c r="A570" s="40"/>
      <c r="B570" s="236">
        <f>SUM(B566:B569)</f>
        <v>8</v>
      </c>
      <c r="C570" s="236"/>
      <c r="D570" s="236"/>
      <c r="E570" s="236">
        <f>SUM(E566:E569)</f>
        <v>905</v>
      </c>
      <c r="F570" s="201"/>
      <c r="G570" s="201"/>
    </row>
    <row r="571" spans="1:7" ht="17.25" customHeight="1">
      <c r="A571" s="236" t="s">
        <v>14</v>
      </c>
      <c r="B571" s="126">
        <f>B564+B570</f>
        <v>23</v>
      </c>
      <c r="C571" s="126"/>
      <c r="D571" s="126"/>
      <c r="E571" s="126">
        <f>E564+E570</f>
        <v>2597</v>
      </c>
      <c r="F571" s="201"/>
      <c r="G571" s="201"/>
    </row>
    <row r="572" spans="1:7" ht="17.25" customHeight="1">
      <c r="A572" s="241"/>
      <c r="B572" s="127"/>
      <c r="C572" s="128"/>
      <c r="D572" s="126"/>
      <c r="E572" s="126"/>
      <c r="F572" s="201"/>
      <c r="G572" s="201"/>
    </row>
    <row r="573" spans="1:7" ht="34.5" customHeight="1">
      <c r="A573" s="269" t="s">
        <v>705</v>
      </c>
      <c r="B573" s="276"/>
      <c r="C573" s="276"/>
      <c r="D573" s="276"/>
      <c r="E573" s="276"/>
      <c r="F573" s="201"/>
      <c r="G573" s="201"/>
    </row>
    <row r="574" spans="1:7" ht="24.75" customHeight="1">
      <c r="A574" s="23" t="s">
        <v>212</v>
      </c>
      <c r="B574" s="23" t="s">
        <v>213</v>
      </c>
      <c r="C574" s="23" t="s">
        <v>214</v>
      </c>
      <c r="D574" s="23" t="s">
        <v>215</v>
      </c>
      <c r="E574" s="87" t="s">
        <v>216</v>
      </c>
      <c r="F574" s="201"/>
      <c r="G574" s="201"/>
    </row>
    <row r="575" spans="1:7" ht="17.25" customHeight="1">
      <c r="A575" s="273" t="s">
        <v>217</v>
      </c>
      <c r="B575" s="274"/>
      <c r="C575" s="275"/>
      <c r="D575" s="40"/>
      <c r="E575" s="39"/>
      <c r="F575" s="201"/>
      <c r="G575" s="201"/>
    </row>
    <row r="576" spans="1:7" ht="17.25" customHeight="1">
      <c r="A576" s="262">
        <v>23115</v>
      </c>
      <c r="B576" s="262">
        <v>30</v>
      </c>
      <c r="C576" s="34" t="s">
        <v>225</v>
      </c>
      <c r="D576" s="263" t="s">
        <v>681</v>
      </c>
      <c r="E576" s="34">
        <v>2273</v>
      </c>
      <c r="F576" s="264">
        <f>SUM(B576:B580)</f>
        <v>150</v>
      </c>
      <c r="G576" s="201"/>
    </row>
    <row r="577" spans="1:7" ht="17.25" customHeight="1">
      <c r="A577" s="262">
        <v>23116</v>
      </c>
      <c r="B577" s="262">
        <v>30</v>
      </c>
      <c r="C577" s="34" t="s">
        <v>225</v>
      </c>
      <c r="D577" s="263" t="s">
        <v>682</v>
      </c>
      <c r="E577" s="34">
        <v>2254</v>
      </c>
      <c r="F577" s="264">
        <f>SUM(B581:B587)</f>
        <v>210</v>
      </c>
      <c r="G577" s="201"/>
    </row>
    <row r="578" spans="1:7" ht="17.25" customHeight="1">
      <c r="A578" s="262">
        <v>23117</v>
      </c>
      <c r="B578" s="262">
        <v>30</v>
      </c>
      <c r="C578" s="34" t="s">
        <v>225</v>
      </c>
      <c r="D578" s="263" t="s">
        <v>683</v>
      </c>
      <c r="E578" s="34">
        <v>2265</v>
      </c>
      <c r="F578" s="201"/>
      <c r="G578" s="201"/>
    </row>
    <row r="579" spans="1:7" ht="17.25" customHeight="1">
      <c r="A579" s="262">
        <v>23118</v>
      </c>
      <c r="B579" s="262">
        <v>30</v>
      </c>
      <c r="C579" s="34" t="s">
        <v>225</v>
      </c>
      <c r="D579" s="260" t="s">
        <v>684</v>
      </c>
      <c r="E579" s="260">
        <v>2257</v>
      </c>
      <c r="F579" s="201"/>
      <c r="G579" s="201"/>
    </row>
    <row r="580" spans="1:7" ht="17.25" customHeight="1">
      <c r="A580" s="262">
        <v>23119</v>
      </c>
      <c r="B580" s="262">
        <v>30</v>
      </c>
      <c r="C580" s="34" t="s">
        <v>225</v>
      </c>
      <c r="D580" s="260" t="s">
        <v>685</v>
      </c>
      <c r="E580" s="260">
        <v>2267</v>
      </c>
      <c r="F580" s="201"/>
      <c r="G580" s="201"/>
    </row>
    <row r="581" spans="1:7" ht="17.25" customHeight="1">
      <c r="A581" s="260">
        <v>23125</v>
      </c>
      <c r="B581" s="260">
        <v>30</v>
      </c>
      <c r="C581" s="260" t="s">
        <v>228</v>
      </c>
      <c r="D581" s="260" t="s">
        <v>686</v>
      </c>
      <c r="E581" s="260">
        <v>3018</v>
      </c>
      <c r="F581" s="201"/>
      <c r="G581" s="201"/>
    </row>
    <row r="582" spans="1:7" ht="17.25" customHeight="1">
      <c r="A582" s="260">
        <v>23126</v>
      </c>
      <c r="B582" s="260">
        <v>30</v>
      </c>
      <c r="C582" s="260" t="s">
        <v>228</v>
      </c>
      <c r="D582" s="260" t="s">
        <v>687</v>
      </c>
      <c r="E582" s="260">
        <v>2997</v>
      </c>
      <c r="F582" s="201"/>
      <c r="G582" s="201"/>
    </row>
    <row r="583" spans="1:7" ht="17.25" customHeight="1">
      <c r="A583" s="260">
        <v>23127</v>
      </c>
      <c r="B583" s="260">
        <v>30</v>
      </c>
      <c r="C583" s="260" t="s">
        <v>228</v>
      </c>
      <c r="D583" s="260" t="s">
        <v>688</v>
      </c>
      <c r="E583" s="260">
        <v>2947</v>
      </c>
      <c r="F583" s="201"/>
      <c r="G583" s="201"/>
    </row>
    <row r="584" spans="1:7" ht="17.25" customHeight="1">
      <c r="A584" s="260">
        <v>23128</v>
      </c>
      <c r="B584" s="260">
        <v>30</v>
      </c>
      <c r="C584" s="260" t="s">
        <v>228</v>
      </c>
      <c r="D584" s="260" t="s">
        <v>689</v>
      </c>
      <c r="E584" s="260">
        <v>3035</v>
      </c>
      <c r="F584" s="201"/>
      <c r="G584" s="201"/>
    </row>
    <row r="585" spans="1:7" ht="17.25" customHeight="1">
      <c r="A585" s="260">
        <v>23129</v>
      </c>
      <c r="B585" s="260">
        <v>30</v>
      </c>
      <c r="C585" s="260" t="s">
        <v>228</v>
      </c>
      <c r="D585" s="260" t="s">
        <v>690</v>
      </c>
      <c r="E585" s="260">
        <v>2909</v>
      </c>
      <c r="F585" s="201"/>
      <c r="G585" s="201"/>
    </row>
    <row r="586" spans="1:7" ht="17.25" customHeight="1">
      <c r="A586" s="260">
        <v>23130</v>
      </c>
      <c r="B586" s="260">
        <v>30</v>
      </c>
      <c r="C586" s="260" t="s">
        <v>228</v>
      </c>
      <c r="D586" s="260" t="s">
        <v>691</v>
      </c>
      <c r="E586" s="260">
        <v>2980</v>
      </c>
      <c r="F586" s="201"/>
      <c r="G586" s="201"/>
    </row>
    <row r="587" spans="1:7" ht="17.25" customHeight="1">
      <c r="A587" s="260">
        <v>23131</v>
      </c>
      <c r="B587" s="260">
        <v>30</v>
      </c>
      <c r="C587" s="260" t="s">
        <v>228</v>
      </c>
      <c r="D587" s="260" t="s">
        <v>692</v>
      </c>
      <c r="E587" s="260">
        <v>3034</v>
      </c>
      <c r="F587" s="201"/>
      <c r="G587" s="201"/>
    </row>
    <row r="588" spans="1:7" ht="17.25" customHeight="1">
      <c r="A588" s="40"/>
      <c r="B588" s="259">
        <f>SUM(B576:B587)</f>
        <v>360</v>
      </c>
      <c r="C588" s="259"/>
      <c r="D588" s="259"/>
      <c r="E588" s="259">
        <f>SUM(E576:E587)</f>
        <v>32236</v>
      </c>
      <c r="F588" s="201"/>
      <c r="G588" s="201"/>
    </row>
    <row r="589" spans="1:7" ht="17.25" customHeight="1">
      <c r="A589" s="259" t="s">
        <v>14</v>
      </c>
      <c r="B589" s="126">
        <f>B588</f>
        <v>360</v>
      </c>
      <c r="C589" s="126"/>
      <c r="D589" s="126"/>
      <c r="E589" s="126">
        <f>E588</f>
        <v>32236</v>
      </c>
      <c r="F589" s="201"/>
      <c r="G589" s="201"/>
    </row>
    <row r="590" spans="1:7" ht="17.25" customHeight="1">
      <c r="A590" s="261"/>
      <c r="B590" s="127"/>
      <c r="C590" s="128"/>
      <c r="D590" s="126"/>
      <c r="E590" s="126"/>
      <c r="F590" s="201"/>
      <c r="G590" s="201"/>
    </row>
    <row r="591" spans="1:7" ht="30.75" customHeight="1">
      <c r="A591" s="269" t="s">
        <v>706</v>
      </c>
      <c r="B591" s="276"/>
      <c r="C591" s="276"/>
      <c r="D591" s="276"/>
      <c r="E591" s="276"/>
      <c r="F591" s="201"/>
      <c r="G591" s="201"/>
    </row>
    <row r="592" spans="1:7" ht="27.75" customHeight="1">
      <c r="A592" s="23" t="s">
        <v>212</v>
      </c>
      <c r="B592" s="23" t="s">
        <v>213</v>
      </c>
      <c r="C592" s="23" t="s">
        <v>214</v>
      </c>
      <c r="D592" s="23" t="s">
        <v>215</v>
      </c>
      <c r="E592" s="87" t="s">
        <v>216</v>
      </c>
      <c r="F592" s="201"/>
      <c r="G592" s="201"/>
    </row>
    <row r="593" spans="1:7" ht="17.25" customHeight="1">
      <c r="A593" s="273" t="s">
        <v>217</v>
      </c>
      <c r="B593" s="274"/>
      <c r="C593" s="275"/>
      <c r="D593" s="40"/>
      <c r="E593" s="39"/>
      <c r="F593" s="201"/>
      <c r="G593" s="201"/>
    </row>
    <row r="594" spans="1:7" ht="17.25" customHeight="1">
      <c r="A594" s="262">
        <v>23120</v>
      </c>
      <c r="B594" s="262">
        <v>30</v>
      </c>
      <c r="C594" s="34" t="s">
        <v>225</v>
      </c>
      <c r="D594" s="260" t="s">
        <v>693</v>
      </c>
      <c r="E594" s="260">
        <v>2263</v>
      </c>
      <c r="F594" s="264">
        <f>SUM(B594:B598)</f>
        <v>140</v>
      </c>
      <c r="G594" s="201"/>
    </row>
    <row r="595" spans="1:7" ht="17.25" customHeight="1">
      <c r="A595" s="262">
        <v>23121</v>
      </c>
      <c r="B595" s="262">
        <v>30</v>
      </c>
      <c r="C595" s="34" t="s">
        <v>225</v>
      </c>
      <c r="D595" s="260" t="s">
        <v>694</v>
      </c>
      <c r="E595" s="260">
        <v>2269</v>
      </c>
      <c r="F595" s="264">
        <f>SUM(B599:B605)</f>
        <v>208</v>
      </c>
      <c r="G595" s="201"/>
    </row>
    <row r="596" spans="1:7" ht="17.25" customHeight="1">
      <c r="A596" s="262">
        <v>23122</v>
      </c>
      <c r="B596" s="262">
        <v>30</v>
      </c>
      <c r="C596" s="34" t="s">
        <v>225</v>
      </c>
      <c r="D596" s="260" t="s">
        <v>695</v>
      </c>
      <c r="E596" s="262">
        <v>2267</v>
      </c>
      <c r="F596" s="201"/>
      <c r="G596" s="201"/>
    </row>
    <row r="597" spans="1:7" ht="17.25" customHeight="1">
      <c r="A597" s="262">
        <v>23123</v>
      </c>
      <c r="B597" s="262">
        <v>30</v>
      </c>
      <c r="C597" s="34" t="s">
        <v>225</v>
      </c>
      <c r="D597" s="260" t="s">
        <v>696</v>
      </c>
      <c r="E597" s="262">
        <v>2255</v>
      </c>
      <c r="F597" s="201"/>
      <c r="G597" s="201"/>
    </row>
    <row r="598" spans="1:7" ht="17.25" customHeight="1">
      <c r="A598" s="262">
        <v>23124</v>
      </c>
      <c r="B598" s="262">
        <v>20</v>
      </c>
      <c r="C598" s="34" t="s">
        <v>225</v>
      </c>
      <c r="D598" s="262" t="s">
        <v>697</v>
      </c>
      <c r="E598" s="262">
        <v>1501</v>
      </c>
      <c r="F598" s="201"/>
      <c r="G598" s="201"/>
    </row>
    <row r="599" spans="1:7" ht="17.25" customHeight="1">
      <c r="A599" s="260">
        <v>23132</v>
      </c>
      <c r="B599" s="260">
        <v>30</v>
      </c>
      <c r="C599" s="260" t="s">
        <v>228</v>
      </c>
      <c r="D599" s="260" t="s">
        <v>698</v>
      </c>
      <c r="E599" s="260">
        <v>2901</v>
      </c>
      <c r="F599" s="201"/>
      <c r="G599" s="201"/>
    </row>
    <row r="600" spans="1:7" ht="17.25" customHeight="1">
      <c r="A600" s="260">
        <v>23133</v>
      </c>
      <c r="B600" s="260">
        <v>30</v>
      </c>
      <c r="C600" s="260" t="s">
        <v>228</v>
      </c>
      <c r="D600" s="260" t="s">
        <v>699</v>
      </c>
      <c r="E600" s="260">
        <v>2884</v>
      </c>
      <c r="F600" s="201"/>
      <c r="G600" s="201"/>
    </row>
    <row r="601" spans="1:7" ht="17.25" customHeight="1">
      <c r="A601" s="260">
        <v>23134</v>
      </c>
      <c r="B601" s="260">
        <v>30</v>
      </c>
      <c r="C601" s="260" t="s">
        <v>228</v>
      </c>
      <c r="D601" s="263" t="s">
        <v>700</v>
      </c>
      <c r="E601" s="260">
        <v>2877</v>
      </c>
      <c r="F601" s="201"/>
      <c r="G601" s="201"/>
    </row>
    <row r="602" spans="1:7" ht="17.25" customHeight="1">
      <c r="A602" s="260">
        <v>23135</v>
      </c>
      <c r="B602" s="260">
        <v>30</v>
      </c>
      <c r="C602" s="260" t="s">
        <v>228</v>
      </c>
      <c r="D602" s="260" t="s">
        <v>701</v>
      </c>
      <c r="E602" s="260">
        <v>2881</v>
      </c>
      <c r="F602" s="201"/>
      <c r="G602" s="201"/>
    </row>
    <row r="603" spans="1:7" ht="17.25" customHeight="1">
      <c r="A603" s="260">
        <v>23136</v>
      </c>
      <c r="B603" s="260">
        <v>30</v>
      </c>
      <c r="C603" s="260" t="s">
        <v>228</v>
      </c>
      <c r="D603" s="260" t="s">
        <v>702</v>
      </c>
      <c r="E603" s="260">
        <v>2928</v>
      </c>
      <c r="F603" s="201"/>
      <c r="G603" s="201"/>
    </row>
    <row r="604" spans="1:7" ht="17.25" customHeight="1">
      <c r="A604" s="260">
        <v>23137</v>
      </c>
      <c r="B604" s="260">
        <v>30</v>
      </c>
      <c r="C604" s="260" t="s">
        <v>228</v>
      </c>
      <c r="D604" s="262" t="s">
        <v>703</v>
      </c>
      <c r="E604" s="260">
        <v>2946</v>
      </c>
      <c r="F604" s="201"/>
      <c r="G604" s="201"/>
    </row>
    <row r="605" spans="1:7" ht="17.25" customHeight="1">
      <c r="A605" s="260">
        <v>23138</v>
      </c>
      <c r="B605" s="260">
        <v>28</v>
      </c>
      <c r="C605" s="260" t="s">
        <v>228</v>
      </c>
      <c r="D605" s="260" t="s">
        <v>704</v>
      </c>
      <c r="E605" s="260">
        <v>2751</v>
      </c>
      <c r="F605" s="201"/>
      <c r="G605" s="201"/>
    </row>
    <row r="606" spans="1:7" ht="17.25" customHeight="1">
      <c r="A606" s="40"/>
      <c r="B606" s="259">
        <f>SUM(B594:B605)</f>
        <v>348</v>
      </c>
      <c r="C606" s="259"/>
      <c r="D606" s="259"/>
      <c r="E606" s="259">
        <f>SUM(E594:E605)</f>
        <v>30723</v>
      </c>
      <c r="F606" s="201"/>
      <c r="G606" s="201"/>
    </row>
    <row r="607" spans="1:7" ht="17.25" customHeight="1">
      <c r="A607" s="259" t="s">
        <v>14</v>
      </c>
      <c r="B607" s="126">
        <f>B606</f>
        <v>348</v>
      </c>
      <c r="C607" s="126"/>
      <c r="D607" s="126"/>
      <c r="E607" s="126">
        <f>E606</f>
        <v>30723</v>
      </c>
      <c r="F607" s="201"/>
      <c r="G607" s="201"/>
    </row>
    <row r="608" spans="1:8" ht="15" customHeight="1">
      <c r="A608" s="261"/>
      <c r="B608" s="127"/>
      <c r="C608" s="128"/>
      <c r="D608" s="126"/>
      <c r="E608" s="126"/>
      <c r="H608" s="1"/>
    </row>
    <row r="609" spans="1:8" ht="15" customHeight="1">
      <c r="A609" s="290" t="s">
        <v>22</v>
      </c>
      <c r="B609" s="291"/>
      <c r="C609" s="292"/>
      <c r="D609" s="8"/>
      <c r="E609" s="10"/>
      <c r="H609" s="1"/>
    </row>
    <row r="610" spans="1:8" ht="15" customHeight="1">
      <c r="A610" s="39"/>
      <c r="B610" s="130"/>
      <c r="C610" s="131"/>
      <c r="D610" s="43"/>
      <c r="E610" s="44">
        <f>SUM(E612:E615)</f>
        <v>5.5760000000000005</v>
      </c>
      <c r="H610" s="1"/>
    </row>
    <row r="611" spans="1:18" ht="15" customHeight="1">
      <c r="A611" s="40" t="s">
        <v>5</v>
      </c>
      <c r="B611" s="269" t="s">
        <v>17</v>
      </c>
      <c r="C611" s="270"/>
      <c r="D611" s="129" t="s">
        <v>18</v>
      </c>
      <c r="E611" s="40" t="s">
        <v>7</v>
      </c>
      <c r="G611" s="93" t="str">
        <f>CONCATENATE("Cable Scrap, Lying at ",B612,". Quantity in MT - ")</f>
        <v>Cable Scrap, Lying at CS Ferozepur. Quantity in MT - </v>
      </c>
      <c r="H611" s="285" t="str">
        <f ca="1">CONCATENATE(G611,G612,(INDIRECT(I612)),(INDIRECT(J612)),(INDIRECT(K612)),(INDIRECT(L612)),(INDIRECT(M612)),(INDIRECT(N612)),(INDIRECT(O612)),(INDIRECT(P612)),(INDIRECT(Q612)),(INDIRECT(R612)))</f>
        <v>Cable Scrap, Lying at CS Ferozepur. Quantity in MT - 2/core PVC Alumn. Cable scrap - 0.676, 4/core PVC Alumn. Cable scrap - 2.192, 1/ core XLPE Alu cable scrap - 0.136, 3/ core XLPE Alu cable scrap - 2.572, </v>
      </c>
      <c r="I611" s="98" t="str">
        <f aca="true" ca="1" t="array" ref="I611">CELL("address",INDEX(G611:G635,MATCH(TRUE,ISBLANK(G611:G635),0)))</f>
        <v>$G$616</v>
      </c>
      <c r="J611" s="98">
        <f aca="true" t="array" ref="J611">MATCH(TRUE,ISBLANK(G611:G635),0)</f>
        <v>6</v>
      </c>
      <c r="K611" s="98">
        <f>J611-3</f>
        <v>3</v>
      </c>
      <c r="L611" s="98"/>
      <c r="M611" s="98"/>
      <c r="N611" s="98"/>
      <c r="O611" s="98"/>
      <c r="P611" s="98"/>
      <c r="Q611" s="98"/>
      <c r="R611" s="98"/>
    </row>
    <row r="612" spans="1:18" ht="15" customHeight="1">
      <c r="A612" s="267" t="s">
        <v>35</v>
      </c>
      <c r="B612" s="267" t="s">
        <v>99</v>
      </c>
      <c r="C612" s="267"/>
      <c r="D612" s="45" t="s">
        <v>90</v>
      </c>
      <c r="E612" s="46">
        <v>0.676</v>
      </c>
      <c r="F612" s="98"/>
      <c r="G612" s="92" t="str">
        <f>CONCATENATE(D612," - ",E612,", ")</f>
        <v>2/core PVC Alumn. Cable scrap - 0.676, </v>
      </c>
      <c r="H612" s="285"/>
      <c r="I612" s="98" t="str">
        <f ca="1">IF(J611&gt;=3,(MID(I611,2,1)&amp;MID(I611,4,3)-K611),CELL("address",Z612))</f>
        <v>G613</v>
      </c>
      <c r="J612" s="98" t="str">
        <f ca="1">IF(J611&gt;=4,(MID(I612,1,1)&amp;MID(I612,2,3)+1),CELL("address",AA612))</f>
        <v>G614</v>
      </c>
      <c r="K612" s="98" t="str">
        <f ca="1">IF(J611&gt;=5,(MID(J612,1,1)&amp;MID(J612,2,3)+1),CELL("address",AB612))</f>
        <v>G615</v>
      </c>
      <c r="L612" s="98" t="str">
        <f ca="1">IF(J611&gt;=6,(MID(K612,1,1)&amp;MID(K612,2,3)+1),CELL("address",AC612))</f>
        <v>G616</v>
      </c>
      <c r="M612" s="98" t="str">
        <f ca="1">IF(J611&gt;=7,(MID(L612,1,1)&amp;MID(L612,2,3)+1),CELL("address",AD612))</f>
        <v>$AD$612</v>
      </c>
      <c r="N612" s="98" t="str">
        <f ca="1">IF(J611&gt;=8,(MID(M612,1,1)&amp;MID(M612,2,3)+1),CELL("address",AE612))</f>
        <v>$AE$612</v>
      </c>
      <c r="O612" s="98" t="str">
        <f ca="1">IF(J611&gt;=9,(MID(N612,1,1)&amp;MID(N612,2,3)+1),CELL("address",AF612))</f>
        <v>$AF$612</v>
      </c>
      <c r="P612" s="98" t="str">
        <f ca="1">IF(J611&gt;=10,(MID(O612,1,1)&amp;MID(O612,2,3)+1),CELL("address",AG612))</f>
        <v>$AG$612</v>
      </c>
      <c r="Q612" s="98" t="str">
        <f ca="1">IF(J611&gt;=11,(MID(P612,1,1)&amp;MID(P612,2,3)+1),CELL("address",AH612))</f>
        <v>$AH$612</v>
      </c>
      <c r="R612" s="98" t="str">
        <f ca="1">IF(J611&gt;=12,(MID(Q612,1,1)&amp;MID(Q612,2,3)+1),CELL("address",AI612))</f>
        <v>$AI$612</v>
      </c>
    </row>
    <row r="613" spans="1:15" ht="15" customHeight="1">
      <c r="A613" s="267"/>
      <c r="B613" s="267"/>
      <c r="C613" s="267"/>
      <c r="D613" s="45" t="s">
        <v>91</v>
      </c>
      <c r="E613" s="46">
        <v>2.192</v>
      </c>
      <c r="F613" s="98"/>
      <c r="G613" s="92" t="str">
        <f>CONCATENATE(D613," - ",E613,", ")</f>
        <v>4/core PVC Alumn. Cable scrap - 2.192, </v>
      </c>
      <c r="H613" s="98"/>
      <c r="I613" s="98" t="e">
        <f ca="1">IF(G612&gt;=6,(MID(H613,1,1)&amp;MID(H613,2,3)+1),CELL("address",Z613))</f>
        <v>#VALUE!</v>
      </c>
      <c r="J613" s="98" t="e">
        <f ca="1">IF(G612&gt;=7,(MID(I613,1,1)&amp;MID(I613,2,3)+1),CELL("address",AA613))</f>
        <v>#VALUE!</v>
      </c>
      <c r="K613" s="98" t="e">
        <f ca="1">IF(G612&gt;=8,(MID(J613,1,1)&amp;MID(J613,2,3)+1),CELL("address",AB613))</f>
        <v>#VALUE!</v>
      </c>
      <c r="L613" s="98" t="e">
        <f ca="1">IF(G612&gt;=9,(MID(K613,1,1)&amp;MID(K613,2,3)+1),CELL("address",AC613))</f>
        <v>#VALUE!</v>
      </c>
      <c r="M613" s="98" t="e">
        <f ca="1">IF(G612&gt;=10,(MID(L613,1,1)&amp;MID(L613,2,3)+1),CELL("address",AD613))</f>
        <v>#VALUE!</v>
      </c>
      <c r="N613" s="98" t="e">
        <f ca="1">IF(G612&gt;=11,(MID(M613,1,1)&amp;MID(M613,2,3)+1),CELL("address",AE613))</f>
        <v>#VALUE!</v>
      </c>
      <c r="O613" s="98" t="e">
        <f ca="1">IF(G612&gt;=12,(MID(N613,1,1)&amp;MID(N613,2,3)+1),CELL("address",AF613))</f>
        <v>#VALUE!</v>
      </c>
    </row>
    <row r="614" spans="1:8" ht="15" customHeight="1">
      <c r="A614" s="267"/>
      <c r="B614" s="267"/>
      <c r="C614" s="267"/>
      <c r="D614" s="45" t="s">
        <v>97</v>
      </c>
      <c r="E614" s="45">
        <v>0.136</v>
      </c>
      <c r="G614" s="92" t="str">
        <f>CONCATENATE(D614," - ",E614,", ")</f>
        <v>1/ core XLPE Alu cable scrap - 0.136, </v>
      </c>
      <c r="H614" s="1"/>
    </row>
    <row r="615" spans="1:8" ht="15" customHeight="1">
      <c r="A615" s="267"/>
      <c r="B615" s="267"/>
      <c r="C615" s="267"/>
      <c r="D615" s="45" t="s">
        <v>92</v>
      </c>
      <c r="E615" s="47">
        <v>2.572</v>
      </c>
      <c r="G615" s="92" t="str">
        <f>CONCATENATE(D615," - ",E615,", ")</f>
        <v>3/ core XLPE Alu cable scrap - 2.572, </v>
      </c>
      <c r="H615" s="1"/>
    </row>
    <row r="616" spans="1:8" ht="15" customHeight="1">
      <c r="A616" s="39"/>
      <c r="B616" s="48"/>
      <c r="C616" s="224"/>
      <c r="D616" s="34"/>
      <c r="E616" s="49"/>
      <c r="H616" s="1"/>
    </row>
    <row r="617" spans="1:8" ht="15" customHeight="1">
      <c r="A617" s="40"/>
      <c r="B617" s="286"/>
      <c r="C617" s="287"/>
      <c r="D617" s="230"/>
      <c r="E617" s="52">
        <f>SUM(E619:E622)</f>
        <v>3.0989999999999998</v>
      </c>
      <c r="H617" s="1"/>
    </row>
    <row r="618" spans="1:18" ht="15" customHeight="1">
      <c r="A618" s="40" t="s">
        <v>5</v>
      </c>
      <c r="B618" s="267" t="s">
        <v>17</v>
      </c>
      <c r="C618" s="267"/>
      <c r="D618" s="222" t="s">
        <v>18</v>
      </c>
      <c r="E618" s="40" t="s">
        <v>7</v>
      </c>
      <c r="G618" s="93" t="str">
        <f>CONCATENATE("Cable Scrap, Lying at ",B619,". Quantity in MT - ")</f>
        <v>Cable Scrap, Lying at OL Shri Muktsar Sahib. Quantity in MT - </v>
      </c>
      <c r="H618" s="285" t="str">
        <f ca="1">CONCATENATE(G618,G619,(INDIRECT(I619)),(INDIRECT(J619)),(INDIRECT(K619)),(INDIRECT(L619)),(INDIRECT(M619)),(INDIRECT(N619)),(INDIRECT(O619)),(INDIRECT(P619)),(INDIRECT(Q619)),(INDIRECT(R619)))</f>
        <v>Cable Scrap, Lying at OL Shri Muktsar Sahib. Quantity in MT - 4/core PVC Alumn. Cable scrap - 0.509, 3/ core XLPE Alu cable scrap - 1.96, 1/core PVC Alumn. Cable scrap - 0.141, 2/core PVC Alumn. Cable scrap - 0.489, </v>
      </c>
      <c r="I618" s="98" t="str">
        <f aca="true" ca="1" t="array" ref="I618">CELL("address",INDEX(G618:G642,MATCH(TRUE,ISBLANK(G618:G642),0)))</f>
        <v>$G$623</v>
      </c>
      <c r="J618" s="98">
        <f aca="true" t="array" ref="J618">MATCH(TRUE,ISBLANK(G618:G642),0)</f>
        <v>6</v>
      </c>
      <c r="K618" s="98">
        <f>J618-3</f>
        <v>3</v>
      </c>
      <c r="L618" s="98"/>
      <c r="M618" s="98"/>
      <c r="N618" s="98"/>
      <c r="O618" s="98"/>
      <c r="P618" s="98"/>
      <c r="Q618" s="98"/>
      <c r="R618" s="98"/>
    </row>
    <row r="619" spans="1:18" ht="15" customHeight="1">
      <c r="A619" s="288" t="s">
        <v>93</v>
      </c>
      <c r="B619" s="279" t="s">
        <v>146</v>
      </c>
      <c r="C619" s="280"/>
      <c r="D619" s="45" t="s">
        <v>91</v>
      </c>
      <c r="E619" s="46">
        <v>0.509</v>
      </c>
      <c r="F619" s="98"/>
      <c r="G619" s="92" t="str">
        <f>CONCATENATE(D619," - ",E619,", ")</f>
        <v>4/core PVC Alumn. Cable scrap - 0.509, </v>
      </c>
      <c r="H619" s="285"/>
      <c r="I619" s="98" t="str">
        <f ca="1">IF(J618&gt;=3,(MID(I618,2,1)&amp;MID(I618,4,3)-K618),CELL("address",Z619))</f>
        <v>G620</v>
      </c>
      <c r="J619" s="98" t="str">
        <f ca="1">IF(J618&gt;=4,(MID(I619,1,1)&amp;MID(I619,2,3)+1),CELL("address",AA619))</f>
        <v>G621</v>
      </c>
      <c r="K619" s="98" t="str">
        <f ca="1">IF(J618&gt;=5,(MID(J619,1,1)&amp;MID(J619,2,3)+1),CELL("address",AB619))</f>
        <v>G622</v>
      </c>
      <c r="L619" s="98" t="str">
        <f ca="1">IF(J618&gt;=6,(MID(K619,1,1)&amp;MID(K619,2,3)+1),CELL("address",AC619))</f>
        <v>G623</v>
      </c>
      <c r="M619" s="98" t="str">
        <f ca="1">IF(J618&gt;=7,(MID(L619,1,1)&amp;MID(L619,2,3)+1),CELL("address",AD619))</f>
        <v>$AD$619</v>
      </c>
      <c r="N619" s="98" t="str">
        <f ca="1">IF(J618&gt;=8,(MID(M619,1,1)&amp;MID(M619,2,3)+1),CELL("address",AE619))</f>
        <v>$AE$619</v>
      </c>
      <c r="O619" s="98" t="str">
        <f ca="1">IF(J618&gt;=9,(MID(N619,1,1)&amp;MID(N619,2,3)+1),CELL("address",AF619))</f>
        <v>$AF$619</v>
      </c>
      <c r="P619" s="98" t="str">
        <f ca="1">IF(J618&gt;=10,(MID(O619,1,1)&amp;MID(O619,2,3)+1),CELL("address",AG619))</f>
        <v>$AG$619</v>
      </c>
      <c r="Q619" s="98" t="str">
        <f ca="1">IF(J618&gt;=11,(MID(P619,1,1)&amp;MID(P619,2,3)+1),CELL("address",AH619))</f>
        <v>$AH$619</v>
      </c>
      <c r="R619" s="98" t="str">
        <f ca="1">IF(J618&gt;=12,(MID(Q619,1,1)&amp;MID(Q619,2,3)+1),CELL("address",AI619))</f>
        <v>$AI$619</v>
      </c>
    </row>
    <row r="620" spans="1:15" ht="15" customHeight="1">
      <c r="A620" s="296"/>
      <c r="B620" s="294"/>
      <c r="C620" s="295"/>
      <c r="D620" s="45" t="s">
        <v>92</v>
      </c>
      <c r="E620" s="46">
        <v>1.96</v>
      </c>
      <c r="F620" s="98"/>
      <c r="G620" s="92" t="str">
        <f>CONCATENATE(D620," - ",E620,", ")</f>
        <v>3/ core XLPE Alu cable scrap - 1.96, </v>
      </c>
      <c r="H620" s="98"/>
      <c r="I620" s="98" t="e">
        <f ca="1">IF(G619&gt;=6,(MID(H620,1,1)&amp;MID(H620,2,3)+1),CELL("address",Z620))</f>
        <v>#VALUE!</v>
      </c>
      <c r="J620" s="98" t="e">
        <f ca="1">IF(G619&gt;=7,(MID(I620,1,1)&amp;MID(I620,2,3)+1),CELL("address",AA620))</f>
        <v>#VALUE!</v>
      </c>
      <c r="K620" s="98" t="e">
        <f ca="1">IF(G619&gt;=8,(MID(J620,1,1)&amp;MID(J620,2,3)+1),CELL("address",AB620))</f>
        <v>#VALUE!</v>
      </c>
      <c r="L620" s="98" t="e">
        <f ca="1">IF(G619&gt;=9,(MID(K620,1,1)&amp;MID(K620,2,3)+1),CELL("address",AC620))</f>
        <v>#VALUE!</v>
      </c>
      <c r="M620" s="98" t="e">
        <f ca="1">IF(G619&gt;=10,(MID(L620,1,1)&amp;MID(L620,2,3)+1),CELL("address",AD620))</f>
        <v>#VALUE!</v>
      </c>
      <c r="N620" s="98" t="e">
        <f ca="1">IF(G619&gt;=11,(MID(M620,1,1)&amp;MID(M620,2,3)+1),CELL("address",AE620))</f>
        <v>#VALUE!</v>
      </c>
      <c r="O620" s="98" t="e">
        <f ca="1">IF(G619&gt;=12,(MID(N620,1,1)&amp;MID(N620,2,3)+1),CELL("address",AF620))</f>
        <v>#VALUE!</v>
      </c>
    </row>
    <row r="621" spans="1:8" ht="15" customHeight="1">
      <c r="A621" s="296"/>
      <c r="B621" s="294"/>
      <c r="C621" s="295"/>
      <c r="D621" s="45" t="s">
        <v>171</v>
      </c>
      <c r="E621" s="75">
        <v>0.141</v>
      </c>
      <c r="G621" s="92" t="str">
        <f>CONCATENATE(D621," - ",E621,", ")</f>
        <v>1/core PVC Alumn. Cable scrap - 0.141, </v>
      </c>
      <c r="H621" s="1"/>
    </row>
    <row r="622" spans="1:8" ht="15" customHeight="1">
      <c r="A622" s="297"/>
      <c r="B622" s="281"/>
      <c r="C622" s="282"/>
      <c r="D622" s="45" t="s">
        <v>90</v>
      </c>
      <c r="E622" s="75">
        <v>0.489</v>
      </c>
      <c r="G622" s="92" t="str">
        <f>CONCATENATE(D622," - ",E622,", ")</f>
        <v>2/core PVC Alumn. Cable scrap - 0.489, </v>
      </c>
      <c r="H622" s="1"/>
    </row>
    <row r="623" spans="1:8" ht="15" customHeight="1">
      <c r="A623" s="40"/>
      <c r="B623" s="286"/>
      <c r="C623" s="287"/>
      <c r="D623" s="71"/>
      <c r="E623" s="75"/>
      <c r="H623" s="1"/>
    </row>
    <row r="624" spans="1:8" ht="15" customHeight="1">
      <c r="A624" s="40"/>
      <c r="B624" s="286"/>
      <c r="C624" s="287"/>
      <c r="D624" s="233"/>
      <c r="E624" s="44">
        <f>SUM(E626:E629)</f>
        <v>2.7920000000000003</v>
      </c>
      <c r="H624" s="1"/>
    </row>
    <row r="625" spans="1:18" ht="15" customHeight="1">
      <c r="A625" s="40" t="s">
        <v>5</v>
      </c>
      <c r="B625" s="269" t="s">
        <v>17</v>
      </c>
      <c r="C625" s="270"/>
      <c r="D625" s="223" t="s">
        <v>18</v>
      </c>
      <c r="E625" s="40" t="s">
        <v>7</v>
      </c>
      <c r="G625" s="93" t="str">
        <f>CONCATENATE("Cable Scrap, Lying at ",B626,". Quantity in MT - ")</f>
        <v>Cable Scrap, Lying at OL Bhagta Bhai Ka. Quantity in MT - </v>
      </c>
      <c r="H625" s="285" t="str">
        <f ca="1">CONCATENATE(G625,G626,(INDIRECT(I626)),(INDIRECT(J626)),(INDIRECT(K626)),(INDIRECT(L626)),(INDIRECT(M626)),(INDIRECT(N626)),(INDIRECT(O626)),(INDIRECT(P626)),(INDIRECT(Q626)),(INDIRECT(R626)))</f>
        <v>Cable Scrap, Lying at OL Bhagta Bhai Ka. Quantity in MT - 4/core PVC Alumn. Cable scrap - 1.366, 2/core PVC Alumn. Cable scrap - 0.353, 3/ core XLPE Alu cable scrap - 0.671, ABC cable scrap (150 mm) - 0.402, </v>
      </c>
      <c r="I625" s="98" t="str">
        <f aca="true" ca="1" t="array" ref="I625">CELL("address",INDEX(G625:G649,MATCH(TRUE,ISBLANK(G625:G649),0)))</f>
        <v>$G$630</v>
      </c>
      <c r="J625" s="98">
        <f aca="true" t="array" ref="J625">MATCH(TRUE,ISBLANK(G625:G649),0)</f>
        <v>6</v>
      </c>
      <c r="K625" s="98">
        <f>J625-3</f>
        <v>3</v>
      </c>
      <c r="L625" s="98"/>
      <c r="M625" s="98"/>
      <c r="N625" s="98"/>
      <c r="O625" s="98"/>
      <c r="P625" s="98"/>
      <c r="Q625" s="98"/>
      <c r="R625" s="98"/>
    </row>
    <row r="626" spans="1:18" ht="15" customHeight="1">
      <c r="A626" s="267" t="s">
        <v>94</v>
      </c>
      <c r="B626" s="267" t="s">
        <v>100</v>
      </c>
      <c r="C626" s="267"/>
      <c r="D626" s="45" t="s">
        <v>91</v>
      </c>
      <c r="E626" s="46">
        <v>1.366</v>
      </c>
      <c r="F626" s="98"/>
      <c r="G626" s="92" t="str">
        <f>CONCATENATE(D626," - ",E626,", ")</f>
        <v>4/core PVC Alumn. Cable scrap - 1.366, </v>
      </c>
      <c r="H626" s="285"/>
      <c r="I626" s="98" t="str">
        <f ca="1">IF(J625&gt;=3,(MID(I625,2,1)&amp;MID(I625,4,3)-K625),CELL("address",Z626))</f>
        <v>G627</v>
      </c>
      <c r="J626" s="98" t="str">
        <f ca="1">IF(J625&gt;=4,(MID(I626,1,1)&amp;MID(I626,2,3)+1),CELL("address",AA626))</f>
        <v>G628</v>
      </c>
      <c r="K626" s="98" t="str">
        <f ca="1">IF(J625&gt;=5,(MID(J626,1,1)&amp;MID(J626,2,3)+1),CELL("address",AB626))</f>
        <v>G629</v>
      </c>
      <c r="L626" s="98" t="str">
        <f ca="1">IF(J625&gt;=6,(MID(K626,1,1)&amp;MID(K626,2,3)+1),CELL("address",AC626))</f>
        <v>G630</v>
      </c>
      <c r="M626" s="98" t="str">
        <f ca="1">IF(J625&gt;=7,(MID(L626,1,1)&amp;MID(L626,2,3)+1),CELL("address",AD626))</f>
        <v>$AD$626</v>
      </c>
      <c r="N626" s="98" t="str">
        <f ca="1">IF(J625&gt;=8,(MID(M626,1,1)&amp;MID(M626,2,3)+1),CELL("address",AE626))</f>
        <v>$AE$626</v>
      </c>
      <c r="O626" s="98" t="str">
        <f ca="1">IF(J625&gt;=9,(MID(N626,1,1)&amp;MID(N626,2,3)+1),CELL("address",AF626))</f>
        <v>$AF$626</v>
      </c>
      <c r="P626" s="98" t="str">
        <f ca="1">IF(J625&gt;=10,(MID(O626,1,1)&amp;MID(O626,2,3)+1),CELL("address",AG626))</f>
        <v>$AG$626</v>
      </c>
      <c r="Q626" s="98" t="str">
        <f ca="1">IF(J625&gt;=11,(MID(P626,1,1)&amp;MID(P626,2,3)+1),CELL("address",AH626))</f>
        <v>$AH$626</v>
      </c>
      <c r="R626" s="98" t="str">
        <f ca="1">IF(J625&gt;=12,(MID(Q626,1,1)&amp;MID(Q626,2,3)+1),CELL("address",AI626))</f>
        <v>$AI$626</v>
      </c>
    </row>
    <row r="627" spans="1:15" ht="15" customHeight="1">
      <c r="A627" s="267"/>
      <c r="B627" s="267"/>
      <c r="C627" s="267"/>
      <c r="D627" s="45" t="s">
        <v>90</v>
      </c>
      <c r="E627" s="75">
        <v>0.353</v>
      </c>
      <c r="F627" s="98"/>
      <c r="G627" s="92" t="str">
        <f>CONCATENATE(D627," - ",E627,", ")</f>
        <v>2/core PVC Alumn. Cable scrap - 0.353, </v>
      </c>
      <c r="H627" s="98"/>
      <c r="I627" s="98" t="e">
        <f ca="1">IF(G626&gt;=6,(MID(H627,1,1)&amp;MID(H627,2,3)+1),CELL("address",Z627))</f>
        <v>#VALUE!</v>
      </c>
      <c r="J627" s="98" t="e">
        <f ca="1">IF(G626&gt;=7,(MID(I627,1,1)&amp;MID(I627,2,3)+1),CELL("address",AA627))</f>
        <v>#VALUE!</v>
      </c>
      <c r="K627" s="98" t="e">
        <f ca="1">IF(G626&gt;=8,(MID(J627,1,1)&amp;MID(J627,2,3)+1),CELL("address",AB627))</f>
        <v>#VALUE!</v>
      </c>
      <c r="L627" s="98" t="e">
        <f ca="1">IF(G626&gt;=9,(MID(K627,1,1)&amp;MID(K627,2,3)+1),CELL("address",AC627))</f>
        <v>#VALUE!</v>
      </c>
      <c r="M627" s="98" t="e">
        <f ca="1">IF(G626&gt;=10,(MID(L627,1,1)&amp;MID(L627,2,3)+1),CELL("address",AD627))</f>
        <v>#VALUE!</v>
      </c>
      <c r="N627" s="98" t="e">
        <f ca="1">IF(G626&gt;=11,(MID(M627,1,1)&amp;MID(M627,2,3)+1),CELL("address",AE627))</f>
        <v>#VALUE!</v>
      </c>
      <c r="O627" s="98" t="e">
        <f ca="1">IF(G626&gt;=12,(MID(N627,1,1)&amp;MID(N627,2,3)+1),CELL("address",AF627))</f>
        <v>#VALUE!</v>
      </c>
    </row>
    <row r="628" spans="1:8" ht="15" customHeight="1">
      <c r="A628" s="267"/>
      <c r="B628" s="267"/>
      <c r="C628" s="267"/>
      <c r="D628" s="45" t="s">
        <v>92</v>
      </c>
      <c r="E628" s="75">
        <v>0.671</v>
      </c>
      <c r="G628" s="92" t="str">
        <f>CONCATENATE(D628," - ",E628,", ")</f>
        <v>3/ core XLPE Alu cable scrap - 0.671, </v>
      </c>
      <c r="H628" s="1"/>
    </row>
    <row r="629" spans="1:8" ht="15" customHeight="1">
      <c r="A629" s="267"/>
      <c r="B629" s="267"/>
      <c r="C629" s="267"/>
      <c r="D629" s="45" t="s">
        <v>247</v>
      </c>
      <c r="E629" s="75">
        <v>0.402</v>
      </c>
      <c r="G629" s="92" t="str">
        <f>CONCATENATE(D629," - ",E629,", ")</f>
        <v>ABC cable scrap (150 mm) - 0.402, </v>
      </c>
      <c r="H629" s="1"/>
    </row>
    <row r="630" spans="1:8" ht="15" customHeight="1">
      <c r="A630" s="39"/>
      <c r="B630" s="41"/>
      <c r="C630" s="42"/>
      <c r="D630" s="71"/>
      <c r="E630" s="75"/>
      <c r="H630" s="1"/>
    </row>
    <row r="631" spans="1:8" ht="15" customHeight="1">
      <c r="A631" s="40"/>
      <c r="B631" s="286"/>
      <c r="C631" s="287"/>
      <c r="D631" s="230"/>
      <c r="E631" s="52">
        <f>SUM(E633:E637)</f>
        <v>13.369</v>
      </c>
      <c r="H631" s="1"/>
    </row>
    <row r="632" spans="1:18" ht="15" customHeight="1">
      <c r="A632" s="40" t="s">
        <v>5</v>
      </c>
      <c r="B632" s="267" t="s">
        <v>17</v>
      </c>
      <c r="C632" s="267"/>
      <c r="D632" s="222" t="s">
        <v>18</v>
      </c>
      <c r="E632" s="40" t="s">
        <v>7</v>
      </c>
      <c r="G632" s="93" t="str">
        <f>CONCATENATE("Cable Scrap, Lying at ",B633,". Quantity in MT - ")</f>
        <v>Cable Scrap, Lying at CS Bathinda. Quantity in MT - </v>
      </c>
      <c r="H632" s="285" t="str">
        <f ca="1">CONCATENATE(G632,G633,(INDIRECT(I633)),(INDIRECT(J633)),(INDIRECT(K633)),(INDIRECT(L633)),(INDIRECT(M633)),(INDIRECT(N633)),(INDIRECT(O633)),(INDIRECT(P633)),(INDIRECT(Q633)),(INDIRECT(R633)))</f>
        <v>Cable Scrap, Lying at CS Bathinda. Quantity in MT - 2/core PVC Alumn. Cable scrap - 0.347, 4/core PVC Alumn. Cable scrap - 2.086, 1/ core XLPE Alu cable scrap - 0.143, 3/ core XLPE Alu cable scrap - 5.469, ABC cable scrap (70/95 mm) - 5.324, </v>
      </c>
      <c r="I632" s="98" t="str">
        <f aca="true" ca="1" t="array" ref="I632">CELL("address",INDEX(G632:G656,MATCH(TRUE,ISBLANK(G632:G656),0)))</f>
        <v>$G$638</v>
      </c>
      <c r="J632" s="98">
        <f aca="true" t="array" ref="J632">MATCH(TRUE,ISBLANK(G632:G656),0)</f>
        <v>7</v>
      </c>
      <c r="K632" s="98">
        <f>J632-3</f>
        <v>4</v>
      </c>
      <c r="L632" s="98"/>
      <c r="M632" s="98"/>
      <c r="N632" s="98"/>
      <c r="O632" s="98"/>
      <c r="P632" s="98"/>
      <c r="Q632" s="98"/>
      <c r="R632" s="98"/>
    </row>
    <row r="633" spans="1:18" ht="15" customHeight="1">
      <c r="A633" s="267" t="s">
        <v>96</v>
      </c>
      <c r="B633" s="267" t="s">
        <v>63</v>
      </c>
      <c r="C633" s="267"/>
      <c r="D633" s="45" t="s">
        <v>90</v>
      </c>
      <c r="E633" s="46">
        <v>0.347</v>
      </c>
      <c r="G633" s="92" t="str">
        <f>CONCATENATE(D633," - ",E633,", ")</f>
        <v>2/core PVC Alumn. Cable scrap - 0.347, </v>
      </c>
      <c r="H633" s="285"/>
      <c r="I633" s="98" t="str">
        <f ca="1">IF(J632&gt;=3,(MID(I632,2,1)&amp;MID(I632,4,3)-K632),CELL("address",Z633))</f>
        <v>G634</v>
      </c>
      <c r="J633" s="98" t="str">
        <f ca="1">IF(J632&gt;=4,(MID(I633,1,1)&amp;MID(I633,2,3)+1),CELL("address",AA633))</f>
        <v>G635</v>
      </c>
      <c r="K633" s="98" t="str">
        <f ca="1">IF(J632&gt;=5,(MID(J633,1,1)&amp;MID(J633,2,3)+1),CELL("address",AB633))</f>
        <v>G636</v>
      </c>
      <c r="L633" s="98" t="str">
        <f ca="1">IF(J632&gt;=6,(MID(K633,1,1)&amp;MID(K633,2,3)+1),CELL("address",AC633))</f>
        <v>G637</v>
      </c>
      <c r="M633" s="98" t="str">
        <f ca="1">IF(J632&gt;=7,(MID(L633,1,1)&amp;MID(L633,2,3)+1),CELL("address",AD633))</f>
        <v>G638</v>
      </c>
      <c r="N633" s="98" t="str">
        <f ca="1">IF(J632&gt;=8,(MID(M633,1,1)&amp;MID(M633,2,3)+1),CELL("address",AE633))</f>
        <v>$AE$633</v>
      </c>
      <c r="O633" s="98" t="str">
        <f ca="1">IF(J632&gt;=9,(MID(N633,1,1)&amp;MID(N633,2,3)+1),CELL("address",AF633))</f>
        <v>$AF$633</v>
      </c>
      <c r="P633" s="98" t="str">
        <f ca="1">IF(J632&gt;=10,(MID(O633,1,1)&amp;MID(O633,2,3)+1),CELL("address",AG633))</f>
        <v>$AG$633</v>
      </c>
      <c r="Q633" s="98" t="str">
        <f ca="1">IF(J632&gt;=11,(MID(P633,1,1)&amp;MID(P633,2,3)+1),CELL("address",AH633))</f>
        <v>$AH$633</v>
      </c>
      <c r="R633" s="98" t="str">
        <f ca="1">IF(J632&gt;=12,(MID(Q633,1,1)&amp;MID(Q633,2,3)+1),CELL("address",AI633))</f>
        <v>$AI$633</v>
      </c>
    </row>
    <row r="634" spans="1:15" ht="15" customHeight="1">
      <c r="A634" s="267"/>
      <c r="B634" s="267"/>
      <c r="C634" s="267"/>
      <c r="D634" s="45" t="s">
        <v>91</v>
      </c>
      <c r="E634" s="46">
        <v>2.086</v>
      </c>
      <c r="F634" s="98"/>
      <c r="G634" s="92" t="str">
        <f>CONCATENATE(D634," - ",E634,", ")</f>
        <v>4/core PVC Alumn. Cable scrap - 2.086, </v>
      </c>
      <c r="H634" s="98"/>
      <c r="I634" s="98"/>
      <c r="J634" s="98"/>
      <c r="K634" s="98"/>
      <c r="L634" s="98"/>
      <c r="M634" s="98"/>
      <c r="N634" s="98"/>
      <c r="O634" s="98"/>
    </row>
    <row r="635" spans="1:15" ht="15" customHeight="1">
      <c r="A635" s="267"/>
      <c r="B635" s="267"/>
      <c r="C635" s="267"/>
      <c r="D635" s="45" t="s">
        <v>97</v>
      </c>
      <c r="E635" s="47">
        <v>0.143</v>
      </c>
      <c r="F635" s="98"/>
      <c r="G635" s="92" t="str">
        <f>CONCATENATE(D635," - ",E635,", ")</f>
        <v>1/ core XLPE Alu cable scrap - 0.143, </v>
      </c>
      <c r="H635" s="98"/>
      <c r="I635" s="98" t="e">
        <f ca="1">IF(G634&gt;=6,(MID(H635,1,1)&amp;MID(H635,2,3)+1),CELL("address",Z635))</f>
        <v>#VALUE!</v>
      </c>
      <c r="J635" s="98" t="e">
        <f ca="1">IF(G634&gt;=7,(MID(I635,1,1)&amp;MID(I635,2,3)+1),CELL("address",AA635))</f>
        <v>#VALUE!</v>
      </c>
      <c r="K635" s="98" t="e">
        <f ca="1">IF(G634&gt;=8,(MID(J635,1,1)&amp;MID(J635,2,3)+1),CELL("address",AB635))</f>
        <v>#VALUE!</v>
      </c>
      <c r="L635" s="98" t="e">
        <f ca="1">IF(G634&gt;=9,(MID(K635,1,1)&amp;MID(K635,2,3)+1),CELL("address",AC635))</f>
        <v>#VALUE!</v>
      </c>
      <c r="M635" s="98" t="e">
        <f ca="1">IF(G634&gt;=10,(MID(L635,1,1)&amp;MID(L635,2,3)+1),CELL("address",AD635))</f>
        <v>#VALUE!</v>
      </c>
      <c r="N635" s="98" t="e">
        <f ca="1">IF(G634&gt;=11,(MID(M635,1,1)&amp;MID(M635,2,3)+1),CELL("address",AE635))</f>
        <v>#VALUE!</v>
      </c>
      <c r="O635" s="98" t="e">
        <f ca="1">IF(G634&gt;=12,(MID(N635,1,1)&amp;MID(N635,2,3)+1),CELL("address",AF635))</f>
        <v>#VALUE!</v>
      </c>
    </row>
    <row r="636" spans="1:8" ht="15" customHeight="1">
      <c r="A636" s="267"/>
      <c r="B636" s="267"/>
      <c r="C636" s="267"/>
      <c r="D636" s="45" t="s">
        <v>92</v>
      </c>
      <c r="E636" s="195">
        <v>5.469</v>
      </c>
      <c r="G636" s="92" t="str">
        <f>CONCATENATE(D636," - ",E636,", ")</f>
        <v>3/ core XLPE Alu cable scrap - 5.469, </v>
      </c>
      <c r="H636" s="1"/>
    </row>
    <row r="637" spans="1:8" ht="15" customHeight="1">
      <c r="A637" s="267"/>
      <c r="B637" s="267"/>
      <c r="C637" s="267"/>
      <c r="D637" s="45" t="s">
        <v>168</v>
      </c>
      <c r="E637" s="195">
        <v>5.324</v>
      </c>
      <c r="G637" s="92" t="str">
        <f>CONCATENATE(D637," - ",E637,", ")</f>
        <v>ABC cable scrap (70/95 mm) - 5.324, </v>
      </c>
      <c r="H637" s="1"/>
    </row>
    <row r="638" spans="1:8" ht="15" customHeight="1">
      <c r="A638" s="39"/>
      <c r="B638" s="41"/>
      <c r="C638" s="42"/>
      <c r="D638" s="76"/>
      <c r="E638" s="77"/>
      <c r="H638" s="1"/>
    </row>
    <row r="639" spans="1:8" ht="15" customHeight="1">
      <c r="A639" s="39"/>
      <c r="B639" s="231"/>
      <c r="C639" s="232"/>
      <c r="D639" s="233"/>
      <c r="E639" s="177">
        <f>SUM(E641:E644)</f>
        <v>4.52</v>
      </c>
      <c r="H639" s="1"/>
    </row>
    <row r="640" spans="1:18" ht="15" customHeight="1">
      <c r="A640" s="40" t="s">
        <v>5</v>
      </c>
      <c r="B640" s="269" t="s">
        <v>17</v>
      </c>
      <c r="C640" s="270"/>
      <c r="D640" s="223" t="s">
        <v>18</v>
      </c>
      <c r="E640" s="39" t="s">
        <v>7</v>
      </c>
      <c r="G640" s="93" t="str">
        <f>CONCATENATE("Cable Scrap, Lying at ",B641,". Quantity in MT - ")</f>
        <v>Cable Scrap, Lying at OL Mansa. Quantity in MT - </v>
      </c>
      <c r="H640" s="285" t="str">
        <f ca="1">CONCATENATE(G640,G641,(INDIRECT(I641)),(INDIRECT(J641)),(INDIRECT(K641)),(INDIRECT(L641)),(INDIRECT(M641)),(INDIRECT(N641)),(INDIRECT(O641)),(INDIRECT(P641)),(INDIRECT(Q641)),(INDIRECT(R641)))</f>
        <v>Cable Scrap, Lying at OL Mansa. Quantity in MT - 2/core PVC Alumn. Cable scrap - 0.667, 4/core PVC Alumn. Cable scrap - 1.882, 3/ core XLPE Alu cable scrap - 1.881, ABC cable scrap (70/95 mm) - 0.09, </v>
      </c>
      <c r="I640" s="98" t="str">
        <f aca="true" ca="1" t="array" ref="I640">CELL("address",INDEX(G640:G664,MATCH(TRUE,ISBLANK(G640:G664),0)))</f>
        <v>$G$645</v>
      </c>
      <c r="J640" s="98">
        <f aca="true" t="array" ref="J640">MATCH(TRUE,ISBLANK(G640:G664),0)</f>
        <v>6</v>
      </c>
      <c r="K640" s="98">
        <f>J640-3</f>
        <v>3</v>
      </c>
      <c r="L640" s="98"/>
      <c r="M640" s="98"/>
      <c r="N640" s="98"/>
      <c r="O640" s="98"/>
      <c r="P640" s="98"/>
      <c r="Q640" s="98"/>
      <c r="R640" s="98"/>
    </row>
    <row r="641" spans="1:18" ht="15" customHeight="1">
      <c r="A641" s="267" t="s">
        <v>189</v>
      </c>
      <c r="B641" s="267" t="s">
        <v>59</v>
      </c>
      <c r="C641" s="267"/>
      <c r="D641" s="45" t="s">
        <v>90</v>
      </c>
      <c r="E641" s="69">
        <v>0.667</v>
      </c>
      <c r="F641" s="98"/>
      <c r="G641" s="92" t="str">
        <f>CONCATENATE(D641," - ",E641,", ")</f>
        <v>2/core PVC Alumn. Cable scrap - 0.667, </v>
      </c>
      <c r="H641" s="285"/>
      <c r="I641" s="98" t="str">
        <f ca="1">IF(J640&gt;=3,(MID(I640,2,1)&amp;MID(I640,4,3)-K640),CELL("address",Z641))</f>
        <v>G642</v>
      </c>
      <c r="J641" s="98" t="str">
        <f ca="1">IF(J640&gt;=4,(MID(I641,1,1)&amp;MID(I641,2,3)+1),CELL("address",AA641))</f>
        <v>G643</v>
      </c>
      <c r="K641" s="98" t="str">
        <f ca="1">IF(J640&gt;=5,(MID(J641,1,1)&amp;MID(J641,2,3)+1),CELL("address",AB641))</f>
        <v>G644</v>
      </c>
      <c r="L641" s="98" t="str">
        <f ca="1">IF(J640&gt;=6,(MID(K641,1,1)&amp;MID(K641,2,3)+1),CELL("address",AC641))</f>
        <v>G645</v>
      </c>
      <c r="M641" s="98" t="str">
        <f ca="1">IF(J640&gt;=7,(MID(L641,1,1)&amp;MID(L641,2,3)+1),CELL("address",AD641))</f>
        <v>$AD$641</v>
      </c>
      <c r="N641" s="98" t="str">
        <f ca="1">IF(J640&gt;=8,(MID(M641,1,1)&amp;MID(M641,2,3)+1),CELL("address",AE641))</f>
        <v>$AE$641</v>
      </c>
      <c r="O641" s="98" t="str">
        <f ca="1">IF(J640&gt;=9,(MID(N641,1,1)&amp;MID(N641,2,3)+1),CELL("address",AF641))</f>
        <v>$AF$641</v>
      </c>
      <c r="P641" s="98" t="str">
        <f ca="1">IF(J640&gt;=10,(MID(O641,1,1)&amp;MID(O641,2,3)+1),CELL("address",AG641))</f>
        <v>$AG$641</v>
      </c>
      <c r="Q641" s="98" t="str">
        <f ca="1">IF(J640&gt;=11,(MID(P641,1,1)&amp;MID(P641,2,3)+1),CELL("address",AH641))</f>
        <v>$AH$641</v>
      </c>
      <c r="R641" s="98" t="str">
        <f ca="1">IF(J640&gt;=12,(MID(Q641,1,1)&amp;MID(Q641,2,3)+1),CELL("address",AI641))</f>
        <v>$AI$641</v>
      </c>
    </row>
    <row r="642" spans="1:15" ht="15" customHeight="1">
      <c r="A642" s="267"/>
      <c r="B642" s="267"/>
      <c r="C642" s="267"/>
      <c r="D642" s="45" t="s">
        <v>91</v>
      </c>
      <c r="E642" s="69">
        <v>1.882</v>
      </c>
      <c r="F642" s="98"/>
      <c r="G642" s="92" t="str">
        <f>CONCATENATE(D642," - ",E642,", ")</f>
        <v>4/core PVC Alumn. Cable scrap - 1.882, </v>
      </c>
      <c r="H642" s="98"/>
      <c r="I642" s="98" t="e">
        <f ca="1">IF(G641&gt;=6,(MID(H642,1,1)&amp;MID(H642,2,3)+1),CELL("address",Z642))</f>
        <v>#VALUE!</v>
      </c>
      <c r="J642" s="98" t="e">
        <f ca="1">IF(G641&gt;=7,(MID(I642,1,1)&amp;MID(I642,2,3)+1),CELL("address",AA642))</f>
        <v>#VALUE!</v>
      </c>
      <c r="K642" s="98" t="e">
        <f ca="1">IF(G641&gt;=8,(MID(J642,1,1)&amp;MID(J642,2,3)+1),CELL("address",AB642))</f>
        <v>#VALUE!</v>
      </c>
      <c r="L642" s="98" t="e">
        <f ca="1">IF(G641&gt;=9,(MID(K642,1,1)&amp;MID(K642,2,3)+1),CELL("address",AC642))</f>
        <v>#VALUE!</v>
      </c>
      <c r="M642" s="98" t="e">
        <f ca="1">IF(G641&gt;=10,(MID(L642,1,1)&amp;MID(L642,2,3)+1),CELL("address",AD642))</f>
        <v>#VALUE!</v>
      </c>
      <c r="N642" s="98" t="e">
        <f ca="1">IF(G641&gt;=11,(MID(M642,1,1)&amp;MID(M642,2,3)+1),CELL("address",AE642))</f>
        <v>#VALUE!</v>
      </c>
      <c r="O642" s="98" t="e">
        <f ca="1">IF(G641&gt;=12,(MID(N642,1,1)&amp;MID(N642,2,3)+1),CELL("address",AF642))</f>
        <v>#VALUE!</v>
      </c>
    </row>
    <row r="643" spans="1:8" ht="15" customHeight="1">
      <c r="A643" s="267"/>
      <c r="B643" s="267"/>
      <c r="C643" s="267"/>
      <c r="D643" s="45" t="s">
        <v>92</v>
      </c>
      <c r="E643" s="69">
        <v>1.881</v>
      </c>
      <c r="G643" s="92" t="str">
        <f>CONCATENATE(D643," - ",E643,", ")</f>
        <v>3/ core XLPE Alu cable scrap - 1.881, </v>
      </c>
      <c r="H643" s="1"/>
    </row>
    <row r="644" spans="1:8" ht="15" customHeight="1">
      <c r="A644" s="267"/>
      <c r="B644" s="267"/>
      <c r="C644" s="267"/>
      <c r="D644" s="45" t="s">
        <v>168</v>
      </c>
      <c r="E644" s="178">
        <v>0.09</v>
      </c>
      <c r="G644" s="92" t="str">
        <f>CONCATENATE(D644," - ",E644,", ")</f>
        <v>ABC cable scrap (70/95 mm) - 0.09, </v>
      </c>
      <c r="H644" s="1"/>
    </row>
    <row r="645" spans="1:8" ht="15" customHeight="1">
      <c r="A645" s="39"/>
      <c r="B645" s="41"/>
      <c r="C645" s="42"/>
      <c r="D645" s="76"/>
      <c r="E645" s="179"/>
      <c r="H645" s="1"/>
    </row>
    <row r="646" spans="1:8" ht="15" customHeight="1">
      <c r="A646" s="39"/>
      <c r="B646" s="231"/>
      <c r="C646" s="232"/>
      <c r="D646" s="233"/>
      <c r="E646" s="177">
        <f>SUM(E648:E651)</f>
        <v>8.555</v>
      </c>
      <c r="H646" s="1"/>
    </row>
    <row r="647" spans="1:18" ht="15" customHeight="1">
      <c r="A647" s="40" t="s">
        <v>5</v>
      </c>
      <c r="B647" s="269" t="s">
        <v>17</v>
      </c>
      <c r="C647" s="270"/>
      <c r="D647" s="223" t="s">
        <v>18</v>
      </c>
      <c r="E647" s="39" t="s">
        <v>7</v>
      </c>
      <c r="G647" s="93" t="str">
        <f>CONCATENATE("Cable Scrap, Lying at ",B648,". Quantity in MT - ")</f>
        <v>Cable Scrap, Lying at CS Kotkapura. Quantity in MT - </v>
      </c>
      <c r="H647" s="285" t="str">
        <f ca="1">CONCATENATE(G647,G648,(INDIRECT(I648)),(INDIRECT(J648)),(INDIRECT(K648)),(INDIRECT(L648)),(INDIRECT(M648)),(INDIRECT(N648)),(INDIRECT(O648)),(INDIRECT(P648)),(INDIRECT(Q648)),(INDIRECT(R648)))</f>
        <v>Cable Scrap, Lying at CS Kotkapura. Quantity in MT - 2/core PVC Alumn. Cable scrap - 1.324, 4/core PVC Alumn. Cable scrap - 2.291, 3/ core XLPE Alu cable scrap - 4.879, 1/ core XLPE Alu cable scrap - 0.061, </v>
      </c>
      <c r="I647" s="98" t="str">
        <f aca="true" ca="1" t="array" ref="I647">CELL("address",INDEX(G647:G671,MATCH(TRUE,ISBLANK(G647:G671),0)))</f>
        <v>$G$652</v>
      </c>
      <c r="J647" s="98">
        <f aca="true" t="array" ref="J647">MATCH(TRUE,ISBLANK(G647:G671),0)</f>
        <v>6</v>
      </c>
      <c r="K647" s="98">
        <f>J647-3</f>
        <v>3</v>
      </c>
      <c r="L647" s="98"/>
      <c r="M647" s="98"/>
      <c r="N647" s="98"/>
      <c r="O647" s="98"/>
      <c r="P647" s="98"/>
      <c r="Q647" s="98"/>
      <c r="R647" s="98"/>
    </row>
    <row r="648" spans="1:18" ht="15" customHeight="1">
      <c r="A648" s="267" t="s">
        <v>191</v>
      </c>
      <c r="B648" s="267" t="s">
        <v>43</v>
      </c>
      <c r="C648" s="267"/>
      <c r="D648" s="45" t="s">
        <v>90</v>
      </c>
      <c r="E648" s="69">
        <v>1.324</v>
      </c>
      <c r="F648" s="98"/>
      <c r="G648" s="92" t="str">
        <f>CONCATENATE(D648," - ",E648,", ")</f>
        <v>2/core PVC Alumn. Cable scrap - 1.324, </v>
      </c>
      <c r="H648" s="285"/>
      <c r="I648" s="98" t="str">
        <f ca="1">IF(J647&gt;=3,(MID(I647,2,1)&amp;MID(I647,4,3)-K647),CELL("address",Z648))</f>
        <v>G649</v>
      </c>
      <c r="J648" s="98" t="str">
        <f ca="1">IF(J647&gt;=4,(MID(I648,1,1)&amp;MID(I648,2,3)+1),CELL("address",AA648))</f>
        <v>G650</v>
      </c>
      <c r="K648" s="98" t="str">
        <f ca="1">IF(J647&gt;=5,(MID(J648,1,1)&amp;MID(J648,2,3)+1),CELL("address",AB648))</f>
        <v>G651</v>
      </c>
      <c r="L648" s="98" t="str">
        <f ca="1">IF(J647&gt;=6,(MID(K648,1,1)&amp;MID(K648,2,3)+1),CELL("address",AC648))</f>
        <v>G652</v>
      </c>
      <c r="M648" s="98" t="str">
        <f ca="1">IF(J647&gt;=7,(MID(L648,1,1)&amp;MID(L648,2,3)+1),CELL("address",AD648))</f>
        <v>$AD$648</v>
      </c>
      <c r="N648" s="98" t="str">
        <f ca="1">IF(J647&gt;=8,(MID(M648,1,1)&amp;MID(M648,2,3)+1),CELL("address",AE648))</f>
        <v>$AE$648</v>
      </c>
      <c r="O648" s="98" t="str">
        <f ca="1">IF(J647&gt;=9,(MID(N648,1,1)&amp;MID(N648,2,3)+1),CELL("address",AF648))</f>
        <v>$AF$648</v>
      </c>
      <c r="P648" s="98" t="str">
        <f ca="1">IF(J647&gt;=10,(MID(O648,1,1)&amp;MID(O648,2,3)+1),CELL("address",AG648))</f>
        <v>$AG$648</v>
      </c>
      <c r="Q648" s="98" t="str">
        <f ca="1">IF(J647&gt;=11,(MID(P648,1,1)&amp;MID(P648,2,3)+1),CELL("address",AH648))</f>
        <v>$AH$648</v>
      </c>
      <c r="R648" s="98" t="str">
        <f ca="1">IF(J647&gt;=12,(MID(Q648,1,1)&amp;MID(Q648,2,3)+1),CELL("address",AI648))</f>
        <v>$AI$648</v>
      </c>
    </row>
    <row r="649" spans="1:15" ht="15" customHeight="1">
      <c r="A649" s="267"/>
      <c r="B649" s="267"/>
      <c r="C649" s="267"/>
      <c r="D649" s="45" t="s">
        <v>91</v>
      </c>
      <c r="E649" s="69">
        <v>2.291</v>
      </c>
      <c r="F649" s="98"/>
      <c r="G649" s="92" t="str">
        <f>CONCATENATE(D649," - ",E649,", ")</f>
        <v>4/core PVC Alumn. Cable scrap - 2.291, </v>
      </c>
      <c r="H649" s="98"/>
      <c r="I649" s="98" t="e">
        <f ca="1">IF(G648&gt;=6,(MID(H649,1,1)&amp;MID(H649,2,3)+1),CELL("address",Z649))</f>
        <v>#VALUE!</v>
      </c>
      <c r="J649" s="98" t="e">
        <f ca="1">IF(G648&gt;=7,(MID(I649,1,1)&amp;MID(I649,2,3)+1),CELL("address",AA649))</f>
        <v>#VALUE!</v>
      </c>
      <c r="K649" s="98" t="e">
        <f ca="1">IF(G648&gt;=8,(MID(J649,1,1)&amp;MID(J649,2,3)+1),CELL("address",AB649))</f>
        <v>#VALUE!</v>
      </c>
      <c r="L649" s="98" t="e">
        <f ca="1">IF(G648&gt;=9,(MID(K649,1,1)&amp;MID(K649,2,3)+1),CELL("address",AC649))</f>
        <v>#VALUE!</v>
      </c>
      <c r="M649" s="98" t="e">
        <f ca="1">IF(G648&gt;=10,(MID(L649,1,1)&amp;MID(L649,2,3)+1),CELL("address",AD649))</f>
        <v>#VALUE!</v>
      </c>
      <c r="N649" s="98" t="e">
        <f ca="1">IF(G648&gt;=11,(MID(M649,1,1)&amp;MID(M649,2,3)+1),CELL("address",AE649))</f>
        <v>#VALUE!</v>
      </c>
      <c r="O649" s="98" t="e">
        <f ca="1">IF(G648&gt;=12,(MID(N649,1,1)&amp;MID(N649,2,3)+1),CELL("address",AF649))</f>
        <v>#VALUE!</v>
      </c>
    </row>
    <row r="650" spans="1:8" ht="15" customHeight="1">
      <c r="A650" s="267"/>
      <c r="B650" s="267"/>
      <c r="C650" s="267"/>
      <c r="D650" s="45" t="s">
        <v>92</v>
      </c>
      <c r="E650" s="120">
        <v>4.879</v>
      </c>
      <c r="G650" s="92" t="str">
        <f>CONCATENATE(D650," - ",E650,", ")</f>
        <v>3/ core XLPE Alu cable scrap - 4.879, </v>
      </c>
      <c r="H650" s="1"/>
    </row>
    <row r="651" spans="1:8" ht="15" customHeight="1">
      <c r="A651" s="267"/>
      <c r="B651" s="267"/>
      <c r="C651" s="267"/>
      <c r="D651" s="45" t="s">
        <v>97</v>
      </c>
      <c r="E651" s="120">
        <v>0.061</v>
      </c>
      <c r="G651" s="92" t="str">
        <f>CONCATENATE(D651," - ",E651,", ")</f>
        <v>1/ core XLPE Alu cable scrap - 0.061, </v>
      </c>
      <c r="H651" s="1"/>
    </row>
    <row r="652" spans="1:8" ht="15" customHeight="1">
      <c r="A652" s="39"/>
      <c r="B652" s="41"/>
      <c r="C652" s="42"/>
      <c r="D652" s="34"/>
      <c r="E652" s="164"/>
      <c r="H652" s="1"/>
    </row>
    <row r="653" spans="1:8" ht="15" customHeight="1">
      <c r="A653" s="39"/>
      <c r="B653" s="231"/>
      <c r="C653" s="232"/>
      <c r="D653" s="233"/>
      <c r="E653" s="177">
        <f>SUM(E655:E658)</f>
        <v>4.02</v>
      </c>
      <c r="H653" s="1"/>
    </row>
    <row r="654" spans="1:18" ht="15" customHeight="1">
      <c r="A654" s="40" t="s">
        <v>5</v>
      </c>
      <c r="B654" s="269" t="s">
        <v>17</v>
      </c>
      <c r="C654" s="270"/>
      <c r="D654" s="223" t="s">
        <v>18</v>
      </c>
      <c r="E654" s="39" t="s">
        <v>7</v>
      </c>
      <c r="G654" s="93" t="str">
        <f>CONCATENATE("Cable Scrap, Lying at ",B655,". Quantity in MT - ")</f>
        <v>Cable Scrap, Lying at OL Patran. Quantity in MT - </v>
      </c>
      <c r="H654" s="285" t="str">
        <f ca="1">CONCATENATE(G654,G655,(INDIRECT(I655)),(INDIRECT(J655)),(INDIRECT(K655)),(INDIRECT(L655)),(INDIRECT(M655)),(INDIRECT(N655)),(INDIRECT(O655)),(INDIRECT(P655)),(INDIRECT(Q655)),(INDIRECT(R655)))</f>
        <v>Cable Scrap, Lying at OL Patran. Quantity in MT - 2/core PVC Alumn. Cable scrap - 0.647, 4/core PVC Alumn. Cable scrap - 1.2, 3/ core XLPE Alu cable scrap - 1.908, ABC cable scrap (150 mm) - 0.265, </v>
      </c>
      <c r="I654" s="98" t="str">
        <f aca="true" ca="1" t="array" ref="I654">CELL("address",INDEX(G654:G678,MATCH(TRUE,ISBLANK(G654:G678),0)))</f>
        <v>$G$659</v>
      </c>
      <c r="J654" s="98">
        <f aca="true" t="array" ref="J654">MATCH(TRUE,ISBLANK(G654:G678),0)</f>
        <v>6</v>
      </c>
      <c r="K654" s="98">
        <f>J654-3</f>
        <v>3</v>
      </c>
      <c r="L654" s="98"/>
      <c r="M654" s="98"/>
      <c r="N654" s="98"/>
      <c r="O654" s="98"/>
      <c r="P654" s="98"/>
      <c r="Q654" s="98"/>
      <c r="R654" s="98"/>
    </row>
    <row r="655" spans="1:18" ht="15" customHeight="1">
      <c r="A655" s="267" t="s">
        <v>167</v>
      </c>
      <c r="B655" s="267" t="s">
        <v>102</v>
      </c>
      <c r="C655" s="267"/>
      <c r="D655" s="45" t="s">
        <v>90</v>
      </c>
      <c r="E655" s="69">
        <v>0.647</v>
      </c>
      <c r="F655" s="98"/>
      <c r="G655" s="92" t="str">
        <f>CONCATENATE(D655," - ",E655,", ")</f>
        <v>2/core PVC Alumn. Cable scrap - 0.647, </v>
      </c>
      <c r="H655" s="285"/>
      <c r="I655" s="98" t="str">
        <f ca="1">IF(J654&gt;=3,(MID(I654,2,1)&amp;MID(I654,4,3)-K654),CELL("address",Z655))</f>
        <v>G656</v>
      </c>
      <c r="J655" s="98" t="str">
        <f ca="1">IF(J654&gt;=4,(MID(I655,1,1)&amp;MID(I655,2,3)+1),CELL("address",AA655))</f>
        <v>G657</v>
      </c>
      <c r="K655" s="98" t="str">
        <f ca="1">IF(J654&gt;=5,(MID(J655,1,1)&amp;MID(J655,2,3)+1),CELL("address",AB655))</f>
        <v>G658</v>
      </c>
      <c r="L655" s="98" t="str">
        <f ca="1">IF(J654&gt;=6,(MID(K655,1,1)&amp;MID(K655,2,3)+1),CELL("address",AC655))</f>
        <v>G659</v>
      </c>
      <c r="M655" s="98" t="str">
        <f ca="1">IF(J654&gt;=7,(MID(L655,1,1)&amp;MID(L655,2,3)+1),CELL("address",AD655))</f>
        <v>$AD$655</v>
      </c>
      <c r="N655" s="98" t="str">
        <f ca="1">IF(J654&gt;=8,(MID(M655,1,1)&amp;MID(M655,2,3)+1),CELL("address",AE655))</f>
        <v>$AE$655</v>
      </c>
      <c r="O655" s="98" t="str">
        <f ca="1">IF(J654&gt;=9,(MID(N655,1,1)&amp;MID(N655,2,3)+1),CELL("address",AF655))</f>
        <v>$AF$655</v>
      </c>
      <c r="P655" s="98" t="str">
        <f ca="1">IF(J654&gt;=10,(MID(O655,1,1)&amp;MID(O655,2,3)+1),CELL("address",AG655))</f>
        <v>$AG$655</v>
      </c>
      <c r="Q655" s="98" t="str">
        <f ca="1">IF(J654&gt;=11,(MID(P655,1,1)&amp;MID(P655,2,3)+1),CELL("address",AH655))</f>
        <v>$AH$655</v>
      </c>
      <c r="R655" s="98" t="str">
        <f ca="1">IF(J654&gt;=12,(MID(Q655,1,1)&amp;MID(Q655,2,3)+1),CELL("address",AI655))</f>
        <v>$AI$655</v>
      </c>
    </row>
    <row r="656" spans="1:15" ht="15" customHeight="1">
      <c r="A656" s="267"/>
      <c r="B656" s="267"/>
      <c r="C656" s="267"/>
      <c r="D656" s="45" t="s">
        <v>91</v>
      </c>
      <c r="E656" s="69">
        <v>1.2</v>
      </c>
      <c r="F656" s="98"/>
      <c r="G656" s="92" t="str">
        <f>CONCATENATE(D656," - ",E656,", ")</f>
        <v>4/core PVC Alumn. Cable scrap - 1.2, </v>
      </c>
      <c r="H656" s="98"/>
      <c r="I656" s="98" t="e">
        <f ca="1">IF(G655&gt;=6,(MID(H656,1,1)&amp;MID(H656,2,3)+1),CELL("address",Z656))</f>
        <v>#VALUE!</v>
      </c>
      <c r="J656" s="98" t="e">
        <f ca="1">IF(G655&gt;=7,(MID(I656,1,1)&amp;MID(I656,2,3)+1),CELL("address",AA656))</f>
        <v>#VALUE!</v>
      </c>
      <c r="K656" s="98" t="e">
        <f ca="1">IF(G655&gt;=8,(MID(J656,1,1)&amp;MID(J656,2,3)+1),CELL("address",AB656))</f>
        <v>#VALUE!</v>
      </c>
      <c r="L656" s="98" t="e">
        <f ca="1">IF(G655&gt;=9,(MID(K656,1,1)&amp;MID(K656,2,3)+1),CELL("address",AC656))</f>
        <v>#VALUE!</v>
      </c>
      <c r="M656" s="98" t="e">
        <f ca="1">IF(G655&gt;=10,(MID(L656,1,1)&amp;MID(L656,2,3)+1),CELL("address",AD656))</f>
        <v>#VALUE!</v>
      </c>
      <c r="N656" s="98" t="e">
        <f ca="1">IF(G655&gt;=11,(MID(M656,1,1)&amp;MID(M656,2,3)+1),CELL("address",AE656))</f>
        <v>#VALUE!</v>
      </c>
      <c r="O656" s="98" t="e">
        <f ca="1">IF(G655&gt;=12,(MID(N656,1,1)&amp;MID(N656,2,3)+1),CELL("address",AF656))</f>
        <v>#VALUE!</v>
      </c>
    </row>
    <row r="657" spans="1:8" ht="15" customHeight="1">
      <c r="A657" s="267"/>
      <c r="B657" s="267"/>
      <c r="C657" s="267"/>
      <c r="D657" s="45" t="s">
        <v>92</v>
      </c>
      <c r="E657" s="69">
        <v>1.908</v>
      </c>
      <c r="G657" s="92" t="str">
        <f>CONCATENATE(D657," - ",E657,", ")</f>
        <v>3/ core XLPE Alu cable scrap - 1.908, </v>
      </c>
      <c r="H657" s="1"/>
    </row>
    <row r="658" spans="1:8" ht="15" customHeight="1">
      <c r="A658" s="267"/>
      <c r="B658" s="267"/>
      <c r="C658" s="267"/>
      <c r="D658" s="45" t="s">
        <v>247</v>
      </c>
      <c r="E658" s="69">
        <v>0.265</v>
      </c>
      <c r="G658" s="92" t="str">
        <f>CONCATENATE(D658," - ",E658,", ")</f>
        <v>ABC cable scrap (150 mm) - 0.265, </v>
      </c>
      <c r="H658" s="1"/>
    </row>
    <row r="659" spans="1:8" ht="15" customHeight="1">
      <c r="A659" s="39"/>
      <c r="B659" s="41"/>
      <c r="C659" s="42"/>
      <c r="D659" s="34"/>
      <c r="E659" s="164"/>
      <c r="H659" s="1"/>
    </row>
    <row r="660" spans="1:8" ht="15" customHeight="1">
      <c r="A660" s="39"/>
      <c r="B660" s="48"/>
      <c r="C660" s="224"/>
      <c r="D660" s="230"/>
      <c r="E660" s="180">
        <f>SUM(E662:E666)</f>
        <v>2.78</v>
      </c>
      <c r="H660" s="1"/>
    </row>
    <row r="661" spans="1:18" ht="15" customHeight="1">
      <c r="A661" s="40" t="s">
        <v>5</v>
      </c>
      <c r="B661" s="269" t="s">
        <v>17</v>
      </c>
      <c r="C661" s="270"/>
      <c r="D661" s="223" t="s">
        <v>18</v>
      </c>
      <c r="E661" s="39" t="s">
        <v>7</v>
      </c>
      <c r="G661" s="93" t="str">
        <f>CONCATENATE("Cable Scrap, Lying at ",B662,". Quantity in MT - ")</f>
        <v>Cable Scrap, Lying at OL Ropar. Quantity in MT - </v>
      </c>
      <c r="H661" s="285" t="str">
        <f ca="1">CONCATENATE(G661,G662,(INDIRECT(I662)),(INDIRECT(J662)),(INDIRECT(K662)),(INDIRECT(L662)),(INDIRECT(M662)),(INDIRECT(N662)),(INDIRECT(O662)),(INDIRECT(P662)),(INDIRECT(Q662)),(INDIRECT(R662)))</f>
        <v>Cable Scrap, Lying at OL Ropar. Quantity in MT - 2/core PVC Alumn. Cable scrap - 0.51, 4/core PVC Alumn. Cable scrap - 0.587, 3/ core XLPE Alu cable scrap - 1.639, 1/core PVC Alumn. Cable scrap - 0.017, Alu.  seals scrap with lash wire - 0.027, </v>
      </c>
      <c r="I661" s="98" t="str">
        <f aca="true" ca="1" t="array" ref="I661">CELL("address",INDEX(G661:G685,MATCH(TRUE,ISBLANK(G661:G685),0)))</f>
        <v>$G$667</v>
      </c>
      <c r="J661" s="98">
        <f aca="true" t="array" ref="J661">MATCH(TRUE,ISBLANK(G661:G685),0)</f>
        <v>7</v>
      </c>
      <c r="K661" s="98">
        <f>J661-3</f>
        <v>4</v>
      </c>
      <c r="L661" s="98"/>
      <c r="M661" s="98"/>
      <c r="N661" s="98"/>
      <c r="O661" s="98"/>
      <c r="P661" s="98"/>
      <c r="Q661" s="98"/>
      <c r="R661" s="98"/>
    </row>
    <row r="662" spans="1:18" ht="15" customHeight="1">
      <c r="A662" s="267" t="s">
        <v>169</v>
      </c>
      <c r="B662" s="267" t="s">
        <v>98</v>
      </c>
      <c r="C662" s="267"/>
      <c r="D662" s="45" t="s">
        <v>90</v>
      </c>
      <c r="E662" s="120">
        <v>0.51</v>
      </c>
      <c r="G662" s="92" t="str">
        <f>CONCATENATE(D662," - ",E662,", ")</f>
        <v>2/core PVC Alumn. Cable scrap - 0.51, </v>
      </c>
      <c r="H662" s="285"/>
      <c r="I662" s="98" t="str">
        <f ca="1">IF(J661&gt;=3,(MID(I661,2,1)&amp;MID(I661,4,3)-K661),CELL("address",Z662))</f>
        <v>G663</v>
      </c>
      <c r="J662" s="98" t="str">
        <f ca="1">IF(J661&gt;=4,(MID(I662,1,1)&amp;MID(I662,2,3)+1),CELL("address",AA662))</f>
        <v>G664</v>
      </c>
      <c r="K662" s="98" t="str">
        <f ca="1">IF(J661&gt;=5,(MID(J662,1,1)&amp;MID(J662,2,3)+1),CELL("address",AB662))</f>
        <v>G665</v>
      </c>
      <c r="L662" s="98" t="str">
        <f ca="1">IF(J661&gt;=6,(MID(K662,1,1)&amp;MID(K662,2,3)+1),CELL("address",AC662))</f>
        <v>G666</v>
      </c>
      <c r="M662" s="98" t="str">
        <f ca="1">IF(J661&gt;=7,(MID(L662,1,1)&amp;MID(L662,2,3)+1),CELL("address",AD662))</f>
        <v>G667</v>
      </c>
      <c r="N662" s="98" t="str">
        <f ca="1">IF(J661&gt;=8,(MID(M662,1,1)&amp;MID(M662,2,3)+1),CELL("address",AE662))</f>
        <v>$AE$662</v>
      </c>
      <c r="O662" s="98" t="str">
        <f ca="1">IF(J661&gt;=9,(MID(N662,1,1)&amp;MID(N662,2,3)+1),CELL("address",AF662))</f>
        <v>$AF$662</v>
      </c>
      <c r="P662" s="98" t="str">
        <f ca="1">IF(J661&gt;=10,(MID(O662,1,1)&amp;MID(O662,2,3)+1),CELL("address",AG662))</f>
        <v>$AG$662</v>
      </c>
      <c r="Q662" s="98" t="str">
        <f ca="1">IF(J661&gt;=11,(MID(P662,1,1)&amp;MID(P662,2,3)+1),CELL("address",AH662))</f>
        <v>$AH$662</v>
      </c>
      <c r="R662" s="98" t="str">
        <f ca="1">IF(J661&gt;=12,(MID(Q662,1,1)&amp;MID(Q662,2,3)+1),CELL("address",AI662))</f>
        <v>$AI$662</v>
      </c>
    </row>
    <row r="663" spans="1:15" ht="15" customHeight="1">
      <c r="A663" s="267"/>
      <c r="B663" s="267"/>
      <c r="C663" s="267"/>
      <c r="D663" s="45" t="s">
        <v>91</v>
      </c>
      <c r="E663" s="120">
        <v>0.587</v>
      </c>
      <c r="F663" s="98"/>
      <c r="G663" s="92" t="str">
        <f>CONCATENATE(D663," - ",E663,", ")</f>
        <v>4/core PVC Alumn. Cable scrap - 0.587, </v>
      </c>
      <c r="H663" s="98"/>
      <c r="I663" s="98"/>
      <c r="J663" s="98"/>
      <c r="K663" s="98"/>
      <c r="L663" s="98"/>
      <c r="M663" s="98"/>
      <c r="N663" s="98"/>
      <c r="O663" s="98"/>
    </row>
    <row r="664" spans="1:15" ht="15" customHeight="1">
      <c r="A664" s="267"/>
      <c r="B664" s="267"/>
      <c r="C664" s="267"/>
      <c r="D664" s="45" t="s">
        <v>92</v>
      </c>
      <c r="E664" s="120">
        <v>1.639</v>
      </c>
      <c r="F664" s="98"/>
      <c r="G664" s="92" t="str">
        <f>CONCATENATE(D664," - ",E664,", ")</f>
        <v>3/ core XLPE Alu cable scrap - 1.639, </v>
      </c>
      <c r="H664" s="98"/>
      <c r="I664" s="98" t="e">
        <f ca="1">IF(G663&gt;=6,(MID(H664,1,1)&amp;MID(H664,2,3)+1),CELL("address",Z664))</f>
        <v>#VALUE!</v>
      </c>
      <c r="J664" s="98" t="e">
        <f ca="1">IF(G663&gt;=7,(MID(I664,1,1)&amp;MID(I664,2,3)+1),CELL("address",AA664))</f>
        <v>#VALUE!</v>
      </c>
      <c r="K664" s="98" t="e">
        <f ca="1">IF(G663&gt;=8,(MID(J664,1,1)&amp;MID(J664,2,3)+1),CELL("address",AB664))</f>
        <v>#VALUE!</v>
      </c>
      <c r="L664" s="98" t="e">
        <f ca="1">IF(G663&gt;=9,(MID(K664,1,1)&amp;MID(K664,2,3)+1),CELL("address",AC664))</f>
        <v>#VALUE!</v>
      </c>
      <c r="M664" s="98" t="e">
        <f ca="1">IF(G663&gt;=10,(MID(L664,1,1)&amp;MID(L664,2,3)+1),CELL("address",AD664))</f>
        <v>#VALUE!</v>
      </c>
      <c r="N664" s="98" t="e">
        <f ca="1">IF(G663&gt;=11,(MID(M664,1,1)&amp;MID(M664,2,3)+1),CELL("address",AE664))</f>
        <v>#VALUE!</v>
      </c>
      <c r="O664" s="98" t="e">
        <f ca="1">IF(G663&gt;=12,(MID(N664,1,1)&amp;MID(N664,2,3)+1),CELL("address",AF664))</f>
        <v>#VALUE!</v>
      </c>
    </row>
    <row r="665" spans="1:8" ht="15" customHeight="1">
      <c r="A665" s="267"/>
      <c r="B665" s="267"/>
      <c r="C665" s="267"/>
      <c r="D665" s="45" t="s">
        <v>171</v>
      </c>
      <c r="E665" s="120">
        <v>0.017</v>
      </c>
      <c r="G665" s="92" t="str">
        <f>CONCATENATE(D665," - ",E665,", ")</f>
        <v>1/core PVC Alumn. Cable scrap - 0.017, </v>
      </c>
      <c r="H665" s="1"/>
    </row>
    <row r="666" spans="1:8" ht="15" customHeight="1">
      <c r="A666" s="267"/>
      <c r="B666" s="267"/>
      <c r="C666" s="267"/>
      <c r="D666" s="45" t="s">
        <v>336</v>
      </c>
      <c r="E666" s="120">
        <v>0.027</v>
      </c>
      <c r="G666" s="92" t="str">
        <f>CONCATENATE(D666," - ",E666,", ")</f>
        <v>Alu.  seals scrap with lash wire - 0.027, </v>
      </c>
      <c r="H666" s="1"/>
    </row>
    <row r="667" spans="1:8" ht="15" customHeight="1">
      <c r="A667" s="39"/>
      <c r="B667" s="41"/>
      <c r="C667" s="42"/>
      <c r="D667" s="34"/>
      <c r="E667" s="164"/>
      <c r="H667" s="1"/>
    </row>
    <row r="668" spans="1:8" ht="15" customHeight="1">
      <c r="A668" s="39"/>
      <c r="B668" s="48"/>
      <c r="C668" s="224"/>
      <c r="D668" s="230"/>
      <c r="E668" s="180">
        <f>SUM(E670:E672)</f>
        <v>7.553</v>
      </c>
      <c r="H668" s="1"/>
    </row>
    <row r="669" spans="1:18" ht="15" customHeight="1">
      <c r="A669" s="40" t="s">
        <v>5</v>
      </c>
      <c r="B669" s="269" t="s">
        <v>17</v>
      </c>
      <c r="C669" s="270"/>
      <c r="D669" s="223" t="s">
        <v>18</v>
      </c>
      <c r="E669" s="39" t="s">
        <v>7</v>
      </c>
      <c r="F669" s="98"/>
      <c r="G669" s="93" t="str">
        <f>CONCATENATE("Cable Scrap, Lying at ",B670,". Quantity in MT - ")</f>
        <v>Cable Scrap, Lying at CS Malout. Quantity in MT - </v>
      </c>
      <c r="H669" s="285" t="str">
        <f ca="1">CONCATENATE(G669,G670,(INDIRECT(I670)),(INDIRECT(J670)),(INDIRECT(K670)),(INDIRECT(L670)),(INDIRECT(M670)),(INDIRECT(N670)),(INDIRECT(O670)),(INDIRECT(P670)),(INDIRECT(Q670)),(INDIRECT(R670)))</f>
        <v>Cable Scrap, Lying at CS Malout. Quantity in MT - 2/core PVC Alumn. Cable scrap - 1.32, 4/core PVC Alumn. Cable scrap - 1.595, 3/ core XLPE Alu cable scrap - 4.638, </v>
      </c>
      <c r="I669" s="98" t="str">
        <f aca="true" ca="1" t="array" ref="I669">CELL("address",INDEX(G669:G693,MATCH(TRUE,ISBLANK(G669:G693),0)))</f>
        <v>$G$673</v>
      </c>
      <c r="J669" s="98">
        <f aca="true" t="array" ref="J669">MATCH(TRUE,ISBLANK(G669:G693),0)</f>
        <v>5</v>
      </c>
      <c r="K669" s="98">
        <f>J669-3</f>
        <v>2</v>
      </c>
      <c r="L669" s="98"/>
      <c r="M669" s="98"/>
      <c r="N669" s="98"/>
      <c r="O669" s="98"/>
      <c r="P669" s="98"/>
      <c r="Q669" s="98"/>
      <c r="R669" s="98"/>
    </row>
    <row r="670" spans="1:18" ht="15" customHeight="1">
      <c r="A670" s="267" t="s">
        <v>170</v>
      </c>
      <c r="B670" s="267" t="s">
        <v>95</v>
      </c>
      <c r="C670" s="267"/>
      <c r="D670" s="45" t="s">
        <v>90</v>
      </c>
      <c r="E670" s="120">
        <v>1.32</v>
      </c>
      <c r="F670" s="98"/>
      <c r="G670" s="92" t="str">
        <f>CONCATENATE(D670," - ",E670,", ")</f>
        <v>2/core PVC Alumn. Cable scrap - 1.32, </v>
      </c>
      <c r="H670" s="285"/>
      <c r="I670" s="98" t="str">
        <f ca="1">IF(J669&gt;=3,(MID(I669,2,1)&amp;MID(I669,4,3)-K669),CELL("address",Z670))</f>
        <v>G671</v>
      </c>
      <c r="J670" s="98" t="str">
        <f ca="1">IF(J669&gt;=4,(MID(I670,1,1)&amp;MID(I670,2,3)+1),CELL("address",AA670))</f>
        <v>G672</v>
      </c>
      <c r="K670" s="98" t="str">
        <f ca="1">IF(J669&gt;=5,(MID(J670,1,1)&amp;MID(J670,2,3)+1),CELL("address",AB670))</f>
        <v>G673</v>
      </c>
      <c r="L670" s="98" t="str">
        <f ca="1">IF(J669&gt;=6,(MID(K670,1,1)&amp;MID(K670,2,3)+1),CELL("address",AC670))</f>
        <v>$AC$670</v>
      </c>
      <c r="M670" s="98" t="str">
        <f ca="1">IF(J669&gt;=7,(MID(L670,1,1)&amp;MID(L670,2,3)+1),CELL("address",AD670))</f>
        <v>$AD$670</v>
      </c>
      <c r="N670" s="98" t="str">
        <f ca="1">IF(J669&gt;=8,(MID(M670,1,1)&amp;MID(M670,2,3)+1),CELL("address",AE670))</f>
        <v>$AE$670</v>
      </c>
      <c r="O670" s="98" t="str">
        <f ca="1">IF(J669&gt;=9,(MID(N670,1,1)&amp;MID(N670,2,3)+1),CELL("address",AF670))</f>
        <v>$AF$670</v>
      </c>
      <c r="P670" s="98" t="str">
        <f ca="1">IF(J669&gt;=10,(MID(O670,1,1)&amp;MID(O670,2,3)+1),CELL("address",AG670))</f>
        <v>$AG$670</v>
      </c>
      <c r="Q670" s="98" t="str">
        <f ca="1">IF(J669&gt;=11,(MID(P670,1,1)&amp;MID(P670,2,3)+1),CELL("address",AH670))</f>
        <v>$AH$670</v>
      </c>
      <c r="R670" s="98" t="str">
        <f ca="1">IF(J669&gt;=12,(MID(Q670,1,1)&amp;MID(Q670,2,3)+1),CELL("address",AI670))</f>
        <v>$AI$670</v>
      </c>
    </row>
    <row r="671" spans="1:8" ht="15" customHeight="1">
      <c r="A671" s="267"/>
      <c r="B671" s="267"/>
      <c r="C671" s="267"/>
      <c r="D671" s="45" t="s">
        <v>91</v>
      </c>
      <c r="E671" s="120">
        <v>1.595</v>
      </c>
      <c r="G671" s="92" t="str">
        <f>CONCATENATE(D671," - ",E671,", ")</f>
        <v>4/core PVC Alumn. Cable scrap - 1.595, </v>
      </c>
      <c r="H671" s="1"/>
    </row>
    <row r="672" spans="1:8" ht="15" customHeight="1">
      <c r="A672" s="267"/>
      <c r="B672" s="267"/>
      <c r="C672" s="267"/>
      <c r="D672" s="45" t="s">
        <v>92</v>
      </c>
      <c r="E672" s="120">
        <v>4.638</v>
      </c>
      <c r="G672" s="92" t="str">
        <f>CONCATENATE(D672," - ",E672,", ")</f>
        <v>3/ core XLPE Alu cable scrap - 4.638, </v>
      </c>
      <c r="H672" s="1"/>
    </row>
    <row r="673" spans="1:8" ht="15" customHeight="1">
      <c r="A673" s="39"/>
      <c r="B673" s="41"/>
      <c r="C673" s="42"/>
      <c r="D673" s="45"/>
      <c r="E673" s="120"/>
      <c r="H673" s="1"/>
    </row>
    <row r="674" spans="1:8" ht="15" customHeight="1">
      <c r="A674" s="39"/>
      <c r="B674" s="48"/>
      <c r="C674" s="224"/>
      <c r="D674" s="230"/>
      <c r="E674" s="180">
        <f>SUM(E676:E679)</f>
        <v>3.4060000000000006</v>
      </c>
      <c r="H674" s="1"/>
    </row>
    <row r="675" spans="1:18" ht="15" customHeight="1">
      <c r="A675" s="40" t="s">
        <v>5</v>
      </c>
      <c r="B675" s="269" t="s">
        <v>17</v>
      </c>
      <c r="C675" s="270"/>
      <c r="D675" s="223" t="s">
        <v>18</v>
      </c>
      <c r="E675" s="39" t="s">
        <v>7</v>
      </c>
      <c r="G675" s="93" t="str">
        <f>CONCATENATE("Cable Scrap, Lying at ",B676,". Quantity in MT - ")</f>
        <v>Cable Scrap, Lying at OL Nabha. Quantity in MT - </v>
      </c>
      <c r="H675" s="285" t="str">
        <f ca="1">CONCATENATE(G675,G676,(INDIRECT(I676)),(INDIRECT(J676)),(INDIRECT(K676)),(INDIRECT(L676)),(INDIRECT(M676)),(INDIRECT(N676)),(INDIRECT(O676)),(INDIRECT(P676)),(INDIRECT(Q676)),(INDIRECT(R676)))</f>
        <v>Cable Scrap, Lying at OL Nabha. Quantity in MT - 2/core PVC Alumn. Cable scrap - 1.195, 4/core PVC Alumn. Cable scrap - 1.024, 3/ core XLPE Alu cable scrap - 1.147, ABC cable scrap (70/95 mm) - 0.04, </v>
      </c>
      <c r="I675" s="98" t="str">
        <f aca="true" ca="1" t="array" ref="I675">CELL("address",INDEX(G675:G699,MATCH(TRUE,ISBLANK(G675:G699),0)))</f>
        <v>$G$680</v>
      </c>
      <c r="J675" s="98">
        <f aca="true" t="array" ref="J675">MATCH(TRUE,ISBLANK(G675:G699),0)</f>
        <v>6</v>
      </c>
      <c r="K675" s="98">
        <f>J675-3</f>
        <v>3</v>
      </c>
      <c r="L675" s="98"/>
      <c r="M675" s="98"/>
      <c r="N675" s="98"/>
      <c r="O675" s="98"/>
      <c r="P675" s="98"/>
      <c r="Q675" s="98"/>
      <c r="R675" s="98"/>
    </row>
    <row r="676" spans="1:18" ht="15" customHeight="1">
      <c r="A676" s="267" t="s">
        <v>172</v>
      </c>
      <c r="B676" s="267" t="s">
        <v>104</v>
      </c>
      <c r="C676" s="267"/>
      <c r="D676" s="45" t="s">
        <v>90</v>
      </c>
      <c r="E676" s="120">
        <v>1.195</v>
      </c>
      <c r="F676" s="98"/>
      <c r="G676" s="92" t="str">
        <f>CONCATENATE(D676," - ",E676,", ")</f>
        <v>2/core PVC Alumn. Cable scrap - 1.195, </v>
      </c>
      <c r="H676" s="285"/>
      <c r="I676" s="98" t="str">
        <f ca="1">IF(J675&gt;=3,(MID(I675,2,1)&amp;MID(I675,4,3)-K675),CELL("address",Z676))</f>
        <v>G677</v>
      </c>
      <c r="J676" s="98" t="str">
        <f ca="1">IF(J675&gt;=4,(MID(I676,1,1)&amp;MID(I676,2,3)+1),CELL("address",AA676))</f>
        <v>G678</v>
      </c>
      <c r="K676" s="98" t="str">
        <f ca="1">IF(J675&gt;=5,(MID(J676,1,1)&amp;MID(J676,2,3)+1),CELL("address",AB676))</f>
        <v>G679</v>
      </c>
      <c r="L676" s="98" t="str">
        <f ca="1">IF(J675&gt;=6,(MID(K676,1,1)&amp;MID(K676,2,3)+1),CELL("address",AC676))</f>
        <v>G680</v>
      </c>
      <c r="M676" s="98" t="str">
        <f ca="1">IF(J675&gt;=7,(MID(L676,1,1)&amp;MID(L676,2,3)+1),CELL("address",AD676))</f>
        <v>$AD$676</v>
      </c>
      <c r="N676" s="98" t="str">
        <f ca="1">IF(J675&gt;=8,(MID(M676,1,1)&amp;MID(M676,2,3)+1),CELL("address",AE676))</f>
        <v>$AE$676</v>
      </c>
      <c r="O676" s="98" t="str">
        <f ca="1">IF(J675&gt;=9,(MID(N676,1,1)&amp;MID(N676,2,3)+1),CELL("address",AF676))</f>
        <v>$AF$676</v>
      </c>
      <c r="P676" s="98" t="str">
        <f ca="1">IF(J675&gt;=10,(MID(O676,1,1)&amp;MID(O676,2,3)+1),CELL("address",AG676))</f>
        <v>$AG$676</v>
      </c>
      <c r="Q676" s="98" t="str">
        <f ca="1">IF(J675&gt;=11,(MID(P676,1,1)&amp;MID(P676,2,3)+1),CELL("address",AH676))</f>
        <v>$AH$676</v>
      </c>
      <c r="R676" s="98" t="str">
        <f ca="1">IF(J675&gt;=12,(MID(Q676,1,1)&amp;MID(Q676,2,3)+1),CELL("address",AI676))</f>
        <v>$AI$676</v>
      </c>
    </row>
    <row r="677" spans="1:15" ht="15" customHeight="1">
      <c r="A677" s="267"/>
      <c r="B677" s="267"/>
      <c r="C677" s="267"/>
      <c r="D677" s="45" t="s">
        <v>91</v>
      </c>
      <c r="E677" s="120">
        <v>1.024</v>
      </c>
      <c r="F677" s="98"/>
      <c r="G677" s="92" t="str">
        <f>CONCATENATE(D677," - ",E677,", ")</f>
        <v>4/core PVC Alumn. Cable scrap - 1.024, </v>
      </c>
      <c r="H677" s="98"/>
      <c r="I677" s="98" t="e">
        <f ca="1">IF(G676&gt;=6,(MID(H677,1,1)&amp;MID(H677,2,3)+1),CELL("address",Z677))</f>
        <v>#VALUE!</v>
      </c>
      <c r="J677" s="98" t="e">
        <f ca="1">IF(G676&gt;=7,(MID(I677,1,1)&amp;MID(I677,2,3)+1),CELL("address",AA677))</f>
        <v>#VALUE!</v>
      </c>
      <c r="K677" s="98" t="e">
        <f ca="1">IF(G676&gt;=8,(MID(J677,1,1)&amp;MID(J677,2,3)+1),CELL("address",AB677))</f>
        <v>#VALUE!</v>
      </c>
      <c r="L677" s="98" t="e">
        <f ca="1">IF(G676&gt;=9,(MID(K677,1,1)&amp;MID(K677,2,3)+1),CELL("address",AC677))</f>
        <v>#VALUE!</v>
      </c>
      <c r="M677" s="98" t="e">
        <f ca="1">IF(G676&gt;=10,(MID(L677,1,1)&amp;MID(L677,2,3)+1),CELL("address",AD677))</f>
        <v>#VALUE!</v>
      </c>
      <c r="N677" s="98" t="e">
        <f ca="1">IF(G676&gt;=11,(MID(M677,1,1)&amp;MID(M677,2,3)+1),CELL("address",AE677))</f>
        <v>#VALUE!</v>
      </c>
      <c r="O677" s="98" t="e">
        <f ca="1">IF(G676&gt;=12,(MID(N677,1,1)&amp;MID(N677,2,3)+1),CELL("address",AF677))</f>
        <v>#VALUE!</v>
      </c>
    </row>
    <row r="678" spans="1:8" ht="15" customHeight="1">
      <c r="A678" s="267"/>
      <c r="B678" s="267"/>
      <c r="C678" s="267"/>
      <c r="D678" s="45" t="s">
        <v>92</v>
      </c>
      <c r="E678" s="120">
        <v>1.147</v>
      </c>
      <c r="G678" s="92" t="str">
        <f>CONCATENATE(D678," - ",E678,", ")</f>
        <v>3/ core XLPE Alu cable scrap - 1.147, </v>
      </c>
      <c r="H678" s="1"/>
    </row>
    <row r="679" spans="1:8" ht="15" customHeight="1">
      <c r="A679" s="267"/>
      <c r="B679" s="267"/>
      <c r="C679" s="267"/>
      <c r="D679" s="45" t="s">
        <v>168</v>
      </c>
      <c r="E679" s="120">
        <v>0.04</v>
      </c>
      <c r="G679" s="92" t="str">
        <f>CONCATENATE(D679," - ",E679,", ")</f>
        <v>ABC cable scrap (70/95 mm) - 0.04, </v>
      </c>
      <c r="H679" s="1"/>
    </row>
    <row r="680" spans="1:8" ht="15" customHeight="1">
      <c r="A680" s="39"/>
      <c r="B680" s="41"/>
      <c r="C680" s="42"/>
      <c r="D680" s="34"/>
      <c r="E680" s="164"/>
      <c r="H680" s="1"/>
    </row>
    <row r="681" spans="1:8" ht="15" customHeight="1">
      <c r="A681" s="39"/>
      <c r="B681" s="231"/>
      <c r="C681" s="232"/>
      <c r="D681" s="233"/>
      <c r="E681" s="177">
        <f>SUM(E683:E687)</f>
        <v>13.764</v>
      </c>
      <c r="H681" s="1"/>
    </row>
    <row r="682" spans="1:18" ht="15" customHeight="1">
      <c r="A682" s="40" t="s">
        <v>5</v>
      </c>
      <c r="B682" s="269" t="s">
        <v>17</v>
      </c>
      <c r="C682" s="270"/>
      <c r="D682" s="223" t="s">
        <v>18</v>
      </c>
      <c r="E682" s="39" t="s">
        <v>7</v>
      </c>
      <c r="G682" s="93" t="str">
        <f>CONCATENATE("Cable Scrap, Lying at ",B683,". Quantity in MT - ")</f>
        <v>Cable Scrap, Lying at CS Patiala. Quantity in MT - </v>
      </c>
      <c r="H682" s="285" t="str">
        <f ca="1">CONCATENATE(G682,G683,(INDIRECT(I683)),(INDIRECT(J683)),(INDIRECT(K683)),(INDIRECT(L683)),(INDIRECT(M683)),(INDIRECT(N683)),(INDIRECT(O683)),(INDIRECT(P683)),(INDIRECT(Q683)),(INDIRECT(R683)))</f>
        <v>Cable Scrap, Lying at CS Patiala. Quantity in MT - 1/core PVC Alumn. Cable scrap - 0.343, 2/core PVC Alumn. Cable scrap - 1.725, 4/core PVC Alumn. Cable scrap - 3.273, 3/ core XLPE Alu cable scrap - 3.2, ABC cable scrap (150 mm) - 5.223, </v>
      </c>
      <c r="I682" s="98" t="str">
        <f aca="true" ca="1" t="array" ref="I682">CELL("address",INDEX(G682:G706,MATCH(TRUE,ISBLANK(G682:G706),0)))</f>
        <v>$G$688</v>
      </c>
      <c r="J682" s="98">
        <f aca="true" t="array" ref="J682">MATCH(TRUE,ISBLANK(G682:G706),0)</f>
        <v>7</v>
      </c>
      <c r="K682" s="98">
        <f>J682-3</f>
        <v>4</v>
      </c>
      <c r="L682" s="98"/>
      <c r="M682" s="98"/>
      <c r="N682" s="98"/>
      <c r="O682" s="98"/>
      <c r="P682" s="98"/>
      <c r="Q682" s="98"/>
      <c r="R682" s="98"/>
    </row>
    <row r="683" spans="1:18" ht="15" customHeight="1">
      <c r="A683" s="267" t="s">
        <v>173</v>
      </c>
      <c r="B683" s="267" t="s">
        <v>52</v>
      </c>
      <c r="C683" s="267"/>
      <c r="D683" s="45" t="s">
        <v>171</v>
      </c>
      <c r="E683" s="39">
        <v>0.343</v>
      </c>
      <c r="G683" s="92" t="str">
        <f>CONCATENATE(D683," - ",E683,", ")</f>
        <v>1/core PVC Alumn. Cable scrap - 0.343, </v>
      </c>
      <c r="H683" s="285"/>
      <c r="I683" s="98" t="str">
        <f ca="1">IF(J682&gt;=3,(MID(I682,2,1)&amp;MID(I682,4,3)-K682),CELL("address",Z683))</f>
        <v>G684</v>
      </c>
      <c r="J683" s="98" t="str">
        <f ca="1">IF(J682&gt;=4,(MID(I683,1,1)&amp;MID(I683,2,3)+1),CELL("address",AA683))</f>
        <v>G685</v>
      </c>
      <c r="K683" s="98" t="str">
        <f ca="1">IF(J682&gt;=5,(MID(J683,1,1)&amp;MID(J683,2,3)+1),CELL("address",AB683))</f>
        <v>G686</v>
      </c>
      <c r="L683" s="98" t="str">
        <f ca="1">IF(J682&gt;=6,(MID(K683,1,1)&amp;MID(K683,2,3)+1),CELL("address",AC683))</f>
        <v>G687</v>
      </c>
      <c r="M683" s="98" t="str">
        <f ca="1">IF(J682&gt;=7,(MID(L683,1,1)&amp;MID(L683,2,3)+1),CELL("address",AD683))</f>
        <v>G688</v>
      </c>
      <c r="N683" s="98" t="str">
        <f ca="1">IF(J682&gt;=8,(MID(M683,1,1)&amp;MID(M683,2,3)+1),CELL("address",AE683))</f>
        <v>$AE$683</v>
      </c>
      <c r="O683" s="98" t="str">
        <f ca="1">IF(J682&gt;=9,(MID(N683,1,1)&amp;MID(N683,2,3)+1),CELL("address",AF683))</f>
        <v>$AF$683</v>
      </c>
      <c r="P683" s="98" t="str">
        <f ca="1">IF(J682&gt;=10,(MID(O683,1,1)&amp;MID(O683,2,3)+1),CELL("address",AG683))</f>
        <v>$AG$683</v>
      </c>
      <c r="Q683" s="98" t="str">
        <f ca="1">IF(J682&gt;=11,(MID(P683,1,1)&amp;MID(P683,2,3)+1),CELL("address",AH683))</f>
        <v>$AH$683</v>
      </c>
      <c r="R683" s="98" t="str">
        <f ca="1">IF(J682&gt;=12,(MID(Q683,1,1)&amp;MID(Q683,2,3)+1),CELL("address",AI683))</f>
        <v>$AI$683</v>
      </c>
    </row>
    <row r="684" spans="1:15" ht="15" customHeight="1">
      <c r="A684" s="267"/>
      <c r="B684" s="267"/>
      <c r="C684" s="267"/>
      <c r="D684" s="45" t="s">
        <v>90</v>
      </c>
      <c r="E684" s="69">
        <v>1.725</v>
      </c>
      <c r="F684" s="98"/>
      <c r="G684" s="92" t="str">
        <f>CONCATENATE(D684," - ",E684,", ")</f>
        <v>2/core PVC Alumn. Cable scrap - 1.725, </v>
      </c>
      <c r="H684" s="98"/>
      <c r="I684" s="98"/>
      <c r="J684" s="98"/>
      <c r="K684" s="98"/>
      <c r="L684" s="98"/>
      <c r="M684" s="98"/>
      <c r="N684" s="98"/>
      <c r="O684" s="98"/>
    </row>
    <row r="685" spans="1:15" ht="15" customHeight="1">
      <c r="A685" s="267"/>
      <c r="B685" s="267"/>
      <c r="C685" s="267"/>
      <c r="D685" s="45" t="s">
        <v>91</v>
      </c>
      <c r="E685" s="69">
        <v>3.273</v>
      </c>
      <c r="F685" s="98"/>
      <c r="G685" s="92" t="str">
        <f>CONCATENATE(D685," - ",E685,", ")</f>
        <v>4/core PVC Alumn. Cable scrap - 3.273, </v>
      </c>
      <c r="H685" s="98"/>
      <c r="I685" s="98" t="e">
        <f ca="1">IF(G684&gt;=6,(MID(H685,1,1)&amp;MID(H685,2,3)+1),CELL("address",Z685))</f>
        <v>#VALUE!</v>
      </c>
      <c r="J685" s="98" t="e">
        <f ca="1">IF(G684&gt;=7,(MID(I685,1,1)&amp;MID(I685,2,3)+1),CELL("address",AA685))</f>
        <v>#VALUE!</v>
      </c>
      <c r="K685" s="98" t="e">
        <f ca="1">IF(G684&gt;=8,(MID(J685,1,1)&amp;MID(J685,2,3)+1),CELL("address",AB685))</f>
        <v>#VALUE!</v>
      </c>
      <c r="L685" s="98" t="e">
        <f ca="1">IF(G684&gt;=9,(MID(K685,1,1)&amp;MID(K685,2,3)+1),CELL("address",AC685))</f>
        <v>#VALUE!</v>
      </c>
      <c r="M685" s="98" t="e">
        <f ca="1">IF(G684&gt;=10,(MID(L685,1,1)&amp;MID(L685,2,3)+1),CELL("address",AD685))</f>
        <v>#VALUE!</v>
      </c>
      <c r="N685" s="98" t="e">
        <f ca="1">IF(G684&gt;=11,(MID(M685,1,1)&amp;MID(M685,2,3)+1),CELL("address",AE685))</f>
        <v>#VALUE!</v>
      </c>
      <c r="O685" s="98" t="e">
        <f ca="1">IF(G684&gt;=12,(MID(N685,1,1)&amp;MID(N685,2,3)+1),CELL("address",AF685))</f>
        <v>#VALUE!</v>
      </c>
    </row>
    <row r="686" spans="1:8" ht="15" customHeight="1">
      <c r="A686" s="267"/>
      <c r="B686" s="267"/>
      <c r="C686" s="267"/>
      <c r="D686" s="45" t="s">
        <v>92</v>
      </c>
      <c r="E686" s="181">
        <v>3.2</v>
      </c>
      <c r="G686" s="92" t="str">
        <f>CONCATENATE(D686," - ",E686,", ")</f>
        <v>3/ core XLPE Alu cable scrap - 3.2, </v>
      </c>
      <c r="H686" s="1"/>
    </row>
    <row r="687" spans="1:8" ht="15" customHeight="1">
      <c r="A687" s="267"/>
      <c r="B687" s="267"/>
      <c r="C687" s="267"/>
      <c r="D687" s="45" t="s">
        <v>247</v>
      </c>
      <c r="E687" s="181">
        <v>5.223</v>
      </c>
      <c r="G687" s="92" t="str">
        <f>CONCATENATE(D687," - ",E687,", ")</f>
        <v>ABC cable scrap (150 mm) - 5.223, </v>
      </c>
      <c r="H687" s="1"/>
    </row>
    <row r="688" spans="1:8" ht="15" customHeight="1">
      <c r="A688" s="39"/>
      <c r="B688" s="41"/>
      <c r="C688" s="42"/>
      <c r="D688" s="34"/>
      <c r="E688" s="164"/>
      <c r="H688" s="1"/>
    </row>
    <row r="689" spans="1:8" ht="15" customHeight="1">
      <c r="A689" s="35"/>
      <c r="E689" s="136">
        <f>SUM(E691:E694)</f>
        <v>1.999</v>
      </c>
      <c r="H689" s="1"/>
    </row>
    <row r="690" spans="1:18" ht="15" customHeight="1">
      <c r="A690" s="40" t="s">
        <v>5</v>
      </c>
      <c r="B690" s="269" t="s">
        <v>17</v>
      </c>
      <c r="C690" s="270"/>
      <c r="D690" s="223" t="s">
        <v>18</v>
      </c>
      <c r="E690" s="39" t="s">
        <v>7</v>
      </c>
      <c r="G690" s="93" t="str">
        <f>CONCATENATE("Cable Scrap, Lying at ",B691,". Quantity in MT - ")</f>
        <v>Cable Scrap, Lying at OL Rajpura. Quantity in MT - </v>
      </c>
      <c r="H690" s="285" t="str">
        <f ca="1">CONCATENATE(G690,G691,(INDIRECT(I691)),(INDIRECT(J691)),(INDIRECT(K691)),(INDIRECT(L691)),(INDIRECT(M691)),(INDIRECT(N691)),(INDIRECT(O691)),(INDIRECT(P691)),(INDIRECT(Q691)),(INDIRECT(R691)))</f>
        <v>Cable Scrap, Lying at OL Rajpura. Quantity in MT - 2/core PVC Alumn. Cable scrap - 0.413, 4/core PVC Alumn. Cable scrap - 0.518, 3/ core XLPE Alu cable scrap - 0.509, ABC cable scrap (70/95 mm) - 0.559, </v>
      </c>
      <c r="I690" s="98" t="str">
        <f aca="true" ca="1" t="array" ref="I690">CELL("address",INDEX(G690:G714,MATCH(TRUE,ISBLANK(G690:G714),0)))</f>
        <v>$G$695</v>
      </c>
      <c r="J690" s="98">
        <f aca="true" t="array" ref="J690">MATCH(TRUE,ISBLANK(G690:G714),0)</f>
        <v>6</v>
      </c>
      <c r="K690" s="98">
        <f>J690-3</f>
        <v>3</v>
      </c>
      <c r="L690" s="98"/>
      <c r="M690" s="98"/>
      <c r="N690" s="98"/>
      <c r="O690" s="98"/>
      <c r="P690" s="98"/>
      <c r="Q690" s="98"/>
      <c r="R690" s="98"/>
    </row>
    <row r="691" spans="1:18" ht="15" customHeight="1">
      <c r="A691" s="267" t="s">
        <v>174</v>
      </c>
      <c r="B691" s="267" t="s">
        <v>103</v>
      </c>
      <c r="C691" s="267"/>
      <c r="D691" s="45" t="s">
        <v>90</v>
      </c>
      <c r="E691" s="39">
        <v>0.413</v>
      </c>
      <c r="F691" s="98"/>
      <c r="G691" s="92" t="str">
        <f>CONCATENATE(D691," - ",E691,", ")</f>
        <v>2/core PVC Alumn. Cable scrap - 0.413, </v>
      </c>
      <c r="H691" s="285"/>
      <c r="I691" s="98" t="str">
        <f ca="1">IF(J690&gt;=3,(MID(I690,2,1)&amp;MID(I690,4,3)-K690),CELL("address",Z691))</f>
        <v>G692</v>
      </c>
      <c r="J691" s="98" t="str">
        <f ca="1">IF(J690&gt;=4,(MID(I691,1,1)&amp;MID(I691,2,3)+1),CELL("address",AA691))</f>
        <v>G693</v>
      </c>
      <c r="K691" s="98" t="str">
        <f ca="1">IF(J690&gt;=5,(MID(J691,1,1)&amp;MID(J691,2,3)+1),CELL("address",AB691))</f>
        <v>G694</v>
      </c>
      <c r="L691" s="98" t="str">
        <f ca="1">IF(J690&gt;=6,(MID(K691,1,1)&amp;MID(K691,2,3)+1),CELL("address",AC691))</f>
        <v>G695</v>
      </c>
      <c r="M691" s="98" t="str">
        <f ca="1">IF(J690&gt;=7,(MID(L691,1,1)&amp;MID(L691,2,3)+1),CELL("address",AD691))</f>
        <v>$AD$691</v>
      </c>
      <c r="N691" s="98" t="str">
        <f ca="1">IF(J690&gt;=8,(MID(M691,1,1)&amp;MID(M691,2,3)+1),CELL("address",AE691))</f>
        <v>$AE$691</v>
      </c>
      <c r="O691" s="98" t="str">
        <f ca="1">IF(J690&gt;=9,(MID(N691,1,1)&amp;MID(N691,2,3)+1),CELL("address",AF691))</f>
        <v>$AF$691</v>
      </c>
      <c r="P691" s="98" t="str">
        <f ca="1">IF(J690&gt;=10,(MID(O691,1,1)&amp;MID(O691,2,3)+1),CELL("address",AG691))</f>
        <v>$AG$691</v>
      </c>
      <c r="Q691" s="98" t="str">
        <f ca="1">IF(J690&gt;=11,(MID(P691,1,1)&amp;MID(P691,2,3)+1),CELL("address",AH691))</f>
        <v>$AH$691</v>
      </c>
      <c r="R691" s="98" t="str">
        <f ca="1">IF(J690&gt;=12,(MID(Q691,1,1)&amp;MID(Q691,2,3)+1),CELL("address",AI691))</f>
        <v>$AI$691</v>
      </c>
    </row>
    <row r="692" spans="1:15" ht="15" customHeight="1">
      <c r="A692" s="267"/>
      <c r="B692" s="267"/>
      <c r="C692" s="267"/>
      <c r="D692" s="45" t="s">
        <v>91</v>
      </c>
      <c r="E692" s="69">
        <v>0.518</v>
      </c>
      <c r="F692" s="98"/>
      <c r="G692" s="92" t="str">
        <f>CONCATENATE(D692," - ",E692,", ")</f>
        <v>4/core PVC Alumn. Cable scrap - 0.518, </v>
      </c>
      <c r="H692" s="98"/>
      <c r="I692" s="98" t="e">
        <f ca="1">IF(G691&gt;=6,(MID(H692,1,1)&amp;MID(H692,2,3)+1),CELL("address",Z692))</f>
        <v>#VALUE!</v>
      </c>
      <c r="J692" s="98" t="e">
        <f ca="1">IF(G691&gt;=7,(MID(I692,1,1)&amp;MID(I692,2,3)+1),CELL("address",AA692))</f>
        <v>#VALUE!</v>
      </c>
      <c r="K692" s="98" t="e">
        <f ca="1">IF(G691&gt;=8,(MID(J692,1,1)&amp;MID(J692,2,3)+1),CELL("address",AB692))</f>
        <v>#VALUE!</v>
      </c>
      <c r="L692" s="98" t="e">
        <f ca="1">IF(G691&gt;=9,(MID(K692,1,1)&amp;MID(K692,2,3)+1),CELL("address",AC692))</f>
        <v>#VALUE!</v>
      </c>
      <c r="M692" s="98" t="e">
        <f ca="1">IF(G691&gt;=10,(MID(L692,1,1)&amp;MID(L692,2,3)+1),CELL("address",AD692))</f>
        <v>#VALUE!</v>
      </c>
      <c r="N692" s="98" t="e">
        <f ca="1">IF(G691&gt;=11,(MID(M692,1,1)&amp;MID(M692,2,3)+1),CELL("address",AE692))</f>
        <v>#VALUE!</v>
      </c>
      <c r="O692" s="98" t="e">
        <f ca="1">IF(G691&gt;=12,(MID(N692,1,1)&amp;MID(N692,2,3)+1),CELL("address",AF692))</f>
        <v>#VALUE!</v>
      </c>
    </row>
    <row r="693" spans="1:8" ht="15" customHeight="1">
      <c r="A693" s="267"/>
      <c r="B693" s="267"/>
      <c r="C693" s="267"/>
      <c r="D693" s="45" t="s">
        <v>92</v>
      </c>
      <c r="E693" s="69">
        <v>0.509</v>
      </c>
      <c r="G693" s="92" t="str">
        <f>CONCATENATE(D693," - ",E693,", ")</f>
        <v>3/ core XLPE Alu cable scrap - 0.509, </v>
      </c>
      <c r="H693" s="1"/>
    </row>
    <row r="694" spans="1:8" ht="15" customHeight="1">
      <c r="A694" s="267"/>
      <c r="B694" s="267"/>
      <c r="C694" s="267"/>
      <c r="D694" s="45" t="s">
        <v>168</v>
      </c>
      <c r="E694" s="120">
        <v>0.559</v>
      </c>
      <c r="G694" s="92" t="str">
        <f>CONCATENATE(D694," - ",E694,", ")</f>
        <v>ABC cable scrap (70/95 mm) - 0.559, </v>
      </c>
      <c r="H694" s="1"/>
    </row>
    <row r="695" spans="1:8" ht="15" customHeight="1">
      <c r="A695" s="39"/>
      <c r="B695" s="41"/>
      <c r="C695" s="42"/>
      <c r="D695" s="45"/>
      <c r="E695" s="120"/>
      <c r="H695" s="1"/>
    </row>
    <row r="696" spans="1:8" ht="15" customHeight="1">
      <c r="A696" s="39"/>
      <c r="B696" s="231"/>
      <c r="C696" s="232"/>
      <c r="D696" s="233"/>
      <c r="E696" s="177">
        <f>SUM(E698:E701)</f>
        <v>4.653</v>
      </c>
      <c r="H696" s="1"/>
    </row>
    <row r="697" spans="1:18" ht="15" customHeight="1">
      <c r="A697" s="40" t="s">
        <v>5</v>
      </c>
      <c r="B697" s="269" t="s">
        <v>17</v>
      </c>
      <c r="C697" s="270"/>
      <c r="D697" s="223" t="s">
        <v>18</v>
      </c>
      <c r="E697" s="39" t="s">
        <v>7</v>
      </c>
      <c r="G697" s="93" t="str">
        <f>CONCATENATE("Cable Scrap, Lying at ",B698,". Quantity in MT - ")</f>
        <v>Cable Scrap, Lying at OL Barnala. Quantity in MT - </v>
      </c>
      <c r="H697" s="285" t="str">
        <f ca="1">CONCATENATE(G697,G698,(INDIRECT(I698)),(INDIRECT(J698)),(INDIRECT(K698)),(INDIRECT(L698)),(INDIRECT(M698)),(INDIRECT(N698)),(INDIRECT(O698)),(INDIRECT(P698)),(INDIRECT(Q698)),(INDIRECT(R698)))</f>
        <v>Cable Scrap, Lying at OL Barnala. Quantity in MT - 2/core PVC Alumn. Cable scrap - 0.53, 4/core PVC Alumn. Cable scrap - 0.989, 3/ core XLPE Alu cable scrap - 3.116, 1/ core XLPE Alu cable scrap - 0.018, </v>
      </c>
      <c r="I697" s="98" t="str">
        <f aca="true" ca="1" t="array" ref="I697">CELL("address",INDEX(G697:G721,MATCH(TRUE,ISBLANK(G697:G721),0)))</f>
        <v>$G$702</v>
      </c>
      <c r="J697" s="98">
        <f aca="true" t="array" ref="J697">MATCH(TRUE,ISBLANK(G697:G721),0)</f>
        <v>6</v>
      </c>
      <c r="K697" s="98">
        <f>J697-3</f>
        <v>3</v>
      </c>
      <c r="L697" s="98"/>
      <c r="M697" s="98"/>
      <c r="N697" s="98"/>
      <c r="O697" s="98"/>
      <c r="P697" s="98"/>
      <c r="Q697" s="98"/>
      <c r="R697" s="98"/>
    </row>
    <row r="698" spans="1:18" ht="15" customHeight="1">
      <c r="A698" s="267" t="s">
        <v>244</v>
      </c>
      <c r="B698" s="267" t="s">
        <v>190</v>
      </c>
      <c r="C698" s="267"/>
      <c r="D698" s="45" t="s">
        <v>90</v>
      </c>
      <c r="E698" s="69">
        <v>0.53</v>
      </c>
      <c r="F698" s="98"/>
      <c r="G698" s="92" t="str">
        <f>CONCATENATE(D698," - ",E698,", ")</f>
        <v>2/core PVC Alumn. Cable scrap - 0.53, </v>
      </c>
      <c r="H698" s="285"/>
      <c r="I698" s="98" t="str">
        <f ca="1">IF(J697&gt;=3,(MID(I697,2,1)&amp;MID(I697,4,3)-K697),CELL("address",Z698))</f>
        <v>G699</v>
      </c>
      <c r="J698" s="98" t="str">
        <f ca="1">IF(J697&gt;=4,(MID(I698,1,1)&amp;MID(I698,2,3)+1),CELL("address",AA698))</f>
        <v>G700</v>
      </c>
      <c r="K698" s="98" t="str">
        <f ca="1">IF(J697&gt;=5,(MID(J698,1,1)&amp;MID(J698,2,3)+1),CELL("address",AB698))</f>
        <v>G701</v>
      </c>
      <c r="L698" s="98" t="str">
        <f ca="1">IF(J697&gt;=6,(MID(K698,1,1)&amp;MID(K698,2,3)+1),CELL("address",AC698))</f>
        <v>G702</v>
      </c>
      <c r="M698" s="98" t="str">
        <f ca="1">IF(J697&gt;=7,(MID(L698,1,1)&amp;MID(L698,2,3)+1),CELL("address",AD698))</f>
        <v>$AD$698</v>
      </c>
      <c r="N698" s="98" t="str">
        <f ca="1">IF(J697&gt;=8,(MID(M698,1,1)&amp;MID(M698,2,3)+1),CELL("address",AE698))</f>
        <v>$AE$698</v>
      </c>
      <c r="O698" s="98" t="str">
        <f ca="1">IF(J697&gt;=9,(MID(N698,1,1)&amp;MID(N698,2,3)+1),CELL("address",AF698))</f>
        <v>$AF$698</v>
      </c>
      <c r="P698" s="98" t="str">
        <f ca="1">IF(J697&gt;=10,(MID(O698,1,1)&amp;MID(O698,2,3)+1),CELL("address",AG698))</f>
        <v>$AG$698</v>
      </c>
      <c r="Q698" s="98" t="str">
        <f ca="1">IF(J697&gt;=11,(MID(P698,1,1)&amp;MID(P698,2,3)+1),CELL("address",AH698))</f>
        <v>$AH$698</v>
      </c>
      <c r="R698" s="98" t="str">
        <f ca="1">IF(J697&gt;=12,(MID(Q698,1,1)&amp;MID(Q698,2,3)+1),CELL("address",AI698))</f>
        <v>$AI$698</v>
      </c>
    </row>
    <row r="699" spans="1:15" ht="15" customHeight="1">
      <c r="A699" s="267"/>
      <c r="B699" s="267"/>
      <c r="C699" s="267"/>
      <c r="D699" s="45" t="s">
        <v>91</v>
      </c>
      <c r="E699" s="69">
        <v>0.989</v>
      </c>
      <c r="F699" s="98"/>
      <c r="G699" s="92" t="str">
        <f>CONCATENATE(D699," - ",E699,", ")</f>
        <v>4/core PVC Alumn. Cable scrap - 0.989, </v>
      </c>
      <c r="H699" s="98"/>
      <c r="I699" s="98" t="e">
        <f ca="1">IF(G698&gt;=6,(MID(H699,1,1)&amp;MID(H699,2,3)+1),CELL("address",Z699))</f>
        <v>#VALUE!</v>
      </c>
      <c r="J699" s="98" t="e">
        <f ca="1">IF(G698&gt;=7,(MID(I699,1,1)&amp;MID(I699,2,3)+1),CELL("address",AA699))</f>
        <v>#VALUE!</v>
      </c>
      <c r="K699" s="98" t="e">
        <f ca="1">IF(G698&gt;=8,(MID(J699,1,1)&amp;MID(J699,2,3)+1),CELL("address",AB699))</f>
        <v>#VALUE!</v>
      </c>
      <c r="L699" s="98" t="e">
        <f ca="1">IF(G698&gt;=9,(MID(K699,1,1)&amp;MID(K699,2,3)+1),CELL("address",AC699))</f>
        <v>#VALUE!</v>
      </c>
      <c r="M699" s="98" t="e">
        <f ca="1">IF(G698&gt;=10,(MID(L699,1,1)&amp;MID(L699,2,3)+1),CELL("address",AD699))</f>
        <v>#VALUE!</v>
      </c>
      <c r="N699" s="98" t="e">
        <f ca="1">IF(G698&gt;=11,(MID(M699,1,1)&amp;MID(M699,2,3)+1),CELL("address",AE699))</f>
        <v>#VALUE!</v>
      </c>
      <c r="O699" s="98" t="e">
        <f ca="1">IF(G698&gt;=12,(MID(N699,1,1)&amp;MID(N699,2,3)+1),CELL("address",AF699))</f>
        <v>#VALUE!</v>
      </c>
    </row>
    <row r="700" spans="1:8" ht="15" customHeight="1">
      <c r="A700" s="267"/>
      <c r="B700" s="267"/>
      <c r="C700" s="267"/>
      <c r="D700" s="45" t="s">
        <v>92</v>
      </c>
      <c r="E700" s="120">
        <v>3.116</v>
      </c>
      <c r="G700" s="92" t="str">
        <f>CONCATENATE(D700," - ",E700,", ")</f>
        <v>3/ core XLPE Alu cable scrap - 3.116, </v>
      </c>
      <c r="H700" s="1"/>
    </row>
    <row r="701" spans="1:8" ht="15" customHeight="1">
      <c r="A701" s="267"/>
      <c r="B701" s="267"/>
      <c r="C701" s="267"/>
      <c r="D701" s="45" t="s">
        <v>97</v>
      </c>
      <c r="E701" s="120">
        <v>0.018</v>
      </c>
      <c r="G701" s="92" t="str">
        <f>CONCATENATE(D701," - ",E701,", ")</f>
        <v>1/ core XLPE Alu cable scrap - 0.018, </v>
      </c>
      <c r="H701" s="1"/>
    </row>
    <row r="702" spans="1:8" ht="15" customHeight="1">
      <c r="A702" s="39"/>
      <c r="B702" s="115"/>
      <c r="C702" s="59"/>
      <c r="D702" s="116"/>
      <c r="E702" s="182"/>
      <c r="H702" s="1"/>
    </row>
    <row r="703" spans="1:8" ht="15" customHeight="1">
      <c r="A703" s="39"/>
      <c r="B703" s="231"/>
      <c r="C703" s="232"/>
      <c r="D703" s="233"/>
      <c r="E703" s="177">
        <f>SUM(E705:E710)</f>
        <v>4.720000000000001</v>
      </c>
      <c r="H703" s="1"/>
    </row>
    <row r="704" spans="1:27" ht="15" customHeight="1">
      <c r="A704" s="70" t="s">
        <v>5</v>
      </c>
      <c r="B704" s="279" t="s">
        <v>17</v>
      </c>
      <c r="C704" s="280"/>
      <c r="D704" s="223" t="s">
        <v>18</v>
      </c>
      <c r="E704" s="39" t="s">
        <v>7</v>
      </c>
      <c r="G704" s="93" t="str">
        <f>CONCATENATE("Cable Scrap, Lying at ",B705,". Quantity in MT - ")</f>
        <v>Cable Scrap, Lying at CS Sangrur. Quantity in MT - </v>
      </c>
      <c r="H704" s="285" t="str">
        <f ca="1">CONCATENATE(G704,G705,(INDIRECT(I705)),(INDIRECT(J705)),(INDIRECT(K705)),(INDIRECT(L705)),(INDIRECT(M705)),(INDIRECT(N705)),(INDIRECT(O705)),(INDIRECT(P705)),(INDIRECT(Q705)),(INDIRECT(R705)))</f>
        <v>Cable Scrap, Lying at CS Sangrur. Quantity in MT - 2/core PVC Alumn. Cable scrap - 0.298, 4/core PVC Alumn. Cable scrap - 0.539, 3/ core XLPE Alu cable scrap - 2.437, Lead seal scrap with lash wire - 0.036, ABC cable scrap (70/95 mm) - 1.345, 1/ core XLPE Alu cable scrap - 0.065, </v>
      </c>
      <c r="I704" s="98" t="str">
        <f aca="true" ca="1" t="array" ref="I704">CELL("address",INDEX(G704:G728,MATCH(TRUE,ISBLANK(G704:G728),0)))</f>
        <v>$G$711</v>
      </c>
      <c r="J704" s="98">
        <f aca="true" t="array" ref="J704">MATCH(TRUE,ISBLANK(G704:G728),0)</f>
        <v>8</v>
      </c>
      <c r="K704" s="98">
        <f>J704-3</f>
        <v>5</v>
      </c>
      <c r="L704" s="98"/>
      <c r="M704" s="98"/>
      <c r="N704" s="98"/>
      <c r="O704" s="98"/>
      <c r="P704" s="98"/>
      <c r="Q704" s="98"/>
      <c r="R704" s="98"/>
      <c r="T704" s="176"/>
      <c r="U704" s="176"/>
      <c r="V704" s="176"/>
      <c r="W704" s="176"/>
      <c r="X704" s="176"/>
      <c r="Y704" s="176"/>
      <c r="Z704" s="176"/>
      <c r="AA704" s="102"/>
    </row>
    <row r="705" spans="1:18" ht="15" customHeight="1">
      <c r="A705" s="267" t="s">
        <v>211</v>
      </c>
      <c r="B705" s="267" t="s">
        <v>79</v>
      </c>
      <c r="C705" s="267"/>
      <c r="D705" s="81" t="s">
        <v>90</v>
      </c>
      <c r="E705" s="69">
        <v>0.298</v>
      </c>
      <c r="G705" s="92" t="str">
        <f aca="true" t="shared" si="2" ref="G705:G710">CONCATENATE(D705," - ",E705,", ")</f>
        <v>2/core PVC Alumn. Cable scrap - 0.298, </v>
      </c>
      <c r="H705" s="285"/>
      <c r="I705" s="98" t="str">
        <f ca="1">IF(J704&gt;=3,(MID(I704,2,1)&amp;MID(I704,4,3)-K704),CELL("address",Z705))</f>
        <v>G706</v>
      </c>
      <c r="J705" s="98" t="str">
        <f ca="1">IF(J704&gt;=4,(MID(I705,1,1)&amp;MID(I705,2,3)+1),CELL("address",AA705))</f>
        <v>G707</v>
      </c>
      <c r="K705" s="98" t="str">
        <f ca="1">IF(J704&gt;=5,(MID(J705,1,1)&amp;MID(J705,2,3)+1),CELL("address",AB705))</f>
        <v>G708</v>
      </c>
      <c r="L705" s="98" t="str">
        <f ca="1">IF(J704&gt;=6,(MID(K705,1,1)&amp;MID(K705,2,3)+1),CELL("address",AC705))</f>
        <v>G709</v>
      </c>
      <c r="M705" s="98" t="str">
        <f ca="1">IF(J704&gt;=7,(MID(L705,1,1)&amp;MID(L705,2,3)+1),CELL("address",AD705))</f>
        <v>G710</v>
      </c>
      <c r="N705" s="98" t="str">
        <f ca="1">IF(J704&gt;=8,(MID(M705,1,1)&amp;MID(M705,2,3)+1),CELL("address",AE705))</f>
        <v>G711</v>
      </c>
      <c r="O705" s="98" t="str">
        <f ca="1">IF(J704&gt;=9,(MID(N705,1,1)&amp;MID(N705,2,3)+1),CELL("address",AF705))</f>
        <v>$AF$705</v>
      </c>
      <c r="P705" s="98" t="str">
        <f ca="1">IF(J704&gt;=10,(MID(O705,1,1)&amp;MID(O705,2,3)+1),CELL("address",AG705))</f>
        <v>$AG$705</v>
      </c>
      <c r="Q705" s="98" t="str">
        <f ca="1">IF(J704&gt;=11,(MID(P705,1,1)&amp;MID(P705,2,3)+1),CELL("address",AH705))</f>
        <v>$AH$705</v>
      </c>
      <c r="R705" s="98" t="str">
        <f ca="1">IF(J704&gt;=12,(MID(Q705,1,1)&amp;MID(Q705,2,3)+1),CELL("address",AI705))</f>
        <v>$AI$705</v>
      </c>
    </row>
    <row r="706" spans="1:8" ht="15" customHeight="1">
      <c r="A706" s="267"/>
      <c r="B706" s="267"/>
      <c r="C706" s="267"/>
      <c r="D706" s="81" t="s">
        <v>91</v>
      </c>
      <c r="E706" s="69">
        <v>0.539</v>
      </c>
      <c r="G706" s="92" t="str">
        <f t="shared" si="2"/>
        <v>4/core PVC Alumn. Cable scrap - 0.539, </v>
      </c>
      <c r="H706" s="1"/>
    </row>
    <row r="707" spans="1:15" ht="15" customHeight="1">
      <c r="A707" s="267"/>
      <c r="B707" s="267"/>
      <c r="C707" s="267"/>
      <c r="D707" s="81" t="s">
        <v>92</v>
      </c>
      <c r="E707" s="69">
        <v>2.437</v>
      </c>
      <c r="F707" s="98"/>
      <c r="G707" s="92" t="str">
        <f t="shared" si="2"/>
        <v>3/ core XLPE Alu cable scrap - 2.437, </v>
      </c>
      <c r="H707" s="98"/>
      <c r="I707" s="98"/>
      <c r="J707" s="98"/>
      <c r="K707" s="98"/>
      <c r="L707" s="98"/>
      <c r="M707" s="98"/>
      <c r="N707" s="98"/>
      <c r="O707" s="98"/>
    </row>
    <row r="708" spans="1:15" ht="15" customHeight="1">
      <c r="A708" s="267"/>
      <c r="B708" s="267"/>
      <c r="C708" s="267"/>
      <c r="D708" s="81" t="s">
        <v>188</v>
      </c>
      <c r="E708" s="181">
        <v>0.036</v>
      </c>
      <c r="F708" s="98"/>
      <c r="G708" s="92" t="str">
        <f t="shared" si="2"/>
        <v>Lead seal scrap with lash wire - 0.036, </v>
      </c>
      <c r="H708" s="98"/>
      <c r="I708" s="98" t="e">
        <f ca="1">IF(G707&gt;=6,(MID(H708,1,1)&amp;MID(H708,2,3)+1),CELL("address",Z708))</f>
        <v>#VALUE!</v>
      </c>
      <c r="J708" s="98" t="e">
        <f ca="1">IF(G707&gt;=7,(MID(I708,1,1)&amp;MID(I708,2,3)+1),CELL("address",AA708))</f>
        <v>#VALUE!</v>
      </c>
      <c r="K708" s="98" t="e">
        <f ca="1">IF(G707&gt;=8,(MID(J708,1,1)&amp;MID(J708,2,3)+1),CELL("address",AB708))</f>
        <v>#VALUE!</v>
      </c>
      <c r="L708" s="98" t="e">
        <f ca="1">IF(G707&gt;=9,(MID(K708,1,1)&amp;MID(K708,2,3)+1),CELL("address",AC708))</f>
        <v>#VALUE!</v>
      </c>
      <c r="M708" s="98" t="e">
        <f ca="1">IF(G707&gt;=10,(MID(L708,1,1)&amp;MID(L708,2,3)+1),CELL("address",AD708))</f>
        <v>#VALUE!</v>
      </c>
      <c r="N708" s="98" t="e">
        <f ca="1">IF(G707&gt;=11,(MID(M708,1,1)&amp;MID(M708,2,3)+1),CELL("address",AE708))</f>
        <v>#VALUE!</v>
      </c>
      <c r="O708" s="98" t="e">
        <f ca="1">IF(G707&gt;=12,(MID(N708,1,1)&amp;MID(N708,2,3)+1),CELL("address",AF708))</f>
        <v>#VALUE!</v>
      </c>
    </row>
    <row r="709" spans="1:8" ht="15" customHeight="1">
      <c r="A709" s="267"/>
      <c r="B709" s="267"/>
      <c r="C709" s="267"/>
      <c r="D709" s="196" t="s">
        <v>168</v>
      </c>
      <c r="E709" s="120">
        <v>1.345</v>
      </c>
      <c r="G709" s="92" t="str">
        <f t="shared" si="2"/>
        <v>ABC cable scrap (70/95 mm) - 1.345, </v>
      </c>
      <c r="H709" s="1"/>
    </row>
    <row r="710" spans="1:8" ht="15" customHeight="1">
      <c r="A710" s="267"/>
      <c r="B710" s="267"/>
      <c r="C710" s="267"/>
      <c r="D710" s="81" t="s">
        <v>97</v>
      </c>
      <c r="E710" s="120">
        <v>0.065</v>
      </c>
      <c r="G710" s="92" t="str">
        <f t="shared" si="2"/>
        <v>1/ core XLPE Alu cable scrap - 0.065, </v>
      </c>
      <c r="H710" s="1"/>
    </row>
    <row r="711" spans="1:8" ht="15" customHeight="1">
      <c r="A711" s="50"/>
      <c r="B711" s="115"/>
      <c r="C711" s="59"/>
      <c r="D711" s="71"/>
      <c r="E711" s="120"/>
      <c r="H711" s="1"/>
    </row>
    <row r="712" spans="1:8" ht="15" customHeight="1">
      <c r="A712" s="39"/>
      <c r="B712" s="231"/>
      <c r="C712" s="232"/>
      <c r="D712" s="233" t="s">
        <v>254</v>
      </c>
      <c r="E712" s="177">
        <f>SUM(E714:E717)</f>
        <v>1.8059999999999998</v>
      </c>
      <c r="H712" s="1"/>
    </row>
    <row r="713" spans="1:18" ht="15" customHeight="1">
      <c r="A713" s="40" t="s">
        <v>5</v>
      </c>
      <c r="B713" s="269" t="s">
        <v>17</v>
      </c>
      <c r="C713" s="270"/>
      <c r="D713" s="223" t="s">
        <v>18</v>
      </c>
      <c r="E713" s="39" t="s">
        <v>7</v>
      </c>
      <c r="G713" s="93" t="str">
        <f>CONCATENATE("Cable Scrap, Lying at ",B714,". Quantity in MT - ")</f>
        <v>Cable Scrap, Lying at CS Mohali. Quantity in MT - </v>
      </c>
      <c r="H713" s="285" t="str">
        <f ca="1">CONCATENATE(G713,G714,(INDIRECT(I714)),(INDIRECT(J714)),(INDIRECT(K714)),(INDIRECT(L714)),(INDIRECT(M714)),(INDIRECT(N714)),(INDIRECT(O714)),(INDIRECT(P714)),(INDIRECT(Q714)),(INDIRECT(R714)))</f>
        <v>Cable Scrap, Lying at CS Mohali. Quantity in MT - 4/core PVC Alumn. Cable scrap - 1.297, 3/ core XLPE Alu cable scrap - 0.208, 1/core PVC Alumn. Cable scrap - 0.158, 2/core PVC Alumn. Cable scrap - 0.143, </v>
      </c>
      <c r="I713" s="98" t="str">
        <f aca="true" ca="1" t="array" ref="I713">CELL("address",INDEX(G713:G737,MATCH(TRUE,ISBLANK(G713:G737),0)))</f>
        <v>$G$718</v>
      </c>
      <c r="J713" s="98">
        <f aca="true" t="array" ref="J713">MATCH(TRUE,ISBLANK(G713:G737),0)</f>
        <v>6</v>
      </c>
      <c r="K713" s="98">
        <f>J713-3</f>
        <v>3</v>
      </c>
      <c r="L713" s="98"/>
      <c r="M713" s="98"/>
      <c r="N713" s="98"/>
      <c r="O713" s="98"/>
      <c r="P713" s="98"/>
      <c r="Q713" s="98"/>
      <c r="R713" s="98"/>
    </row>
    <row r="714" spans="1:18" ht="15" customHeight="1">
      <c r="A714" s="267" t="s">
        <v>252</v>
      </c>
      <c r="B714" s="267" t="s">
        <v>62</v>
      </c>
      <c r="C714" s="267"/>
      <c r="D714" s="45" t="s">
        <v>91</v>
      </c>
      <c r="E714" s="39">
        <v>1.297</v>
      </c>
      <c r="F714" s="98"/>
      <c r="G714" s="92" t="str">
        <f>CONCATENATE(D714," - ",E714,", ")</f>
        <v>4/core PVC Alumn. Cable scrap - 1.297, </v>
      </c>
      <c r="H714" s="285"/>
      <c r="I714" s="98" t="str">
        <f ca="1">IF(J713&gt;=3,(MID(I713,2,1)&amp;MID(I713,4,3)-K713),CELL("address",Z714))</f>
        <v>G715</v>
      </c>
      <c r="J714" s="98" t="str">
        <f ca="1">IF(J713&gt;=4,(MID(I714,1,1)&amp;MID(I714,2,3)+1),CELL("address",AA714))</f>
        <v>G716</v>
      </c>
      <c r="K714" s="98" t="str">
        <f ca="1">IF(J713&gt;=5,(MID(J714,1,1)&amp;MID(J714,2,3)+1),CELL("address",AB714))</f>
        <v>G717</v>
      </c>
      <c r="L714" s="98" t="str">
        <f ca="1">IF(J713&gt;=6,(MID(K714,1,1)&amp;MID(K714,2,3)+1),CELL("address",AC714))</f>
        <v>G718</v>
      </c>
      <c r="M714" s="98" t="str">
        <f ca="1">IF(J713&gt;=7,(MID(L714,1,1)&amp;MID(L714,2,3)+1),CELL("address",AD714))</f>
        <v>$AD$714</v>
      </c>
      <c r="N714" s="98" t="str">
        <f ca="1">IF(J713&gt;=8,(MID(M714,1,1)&amp;MID(M714,2,3)+1),CELL("address",AE714))</f>
        <v>$AE$714</v>
      </c>
      <c r="O714" s="98" t="str">
        <f ca="1">IF(J713&gt;=9,(MID(N714,1,1)&amp;MID(N714,2,3)+1),CELL("address",AF714))</f>
        <v>$AF$714</v>
      </c>
      <c r="P714" s="98" t="str">
        <f ca="1">IF(J713&gt;=10,(MID(O714,1,1)&amp;MID(O714,2,3)+1),CELL("address",AG714))</f>
        <v>$AG$714</v>
      </c>
      <c r="Q714" s="98" t="str">
        <f ca="1">IF(J713&gt;=11,(MID(P714,1,1)&amp;MID(P714,2,3)+1),CELL("address",AH714))</f>
        <v>$AH$714</v>
      </c>
      <c r="R714" s="98" t="str">
        <f ca="1">IF(J713&gt;=12,(MID(Q714,1,1)&amp;MID(Q714,2,3)+1),CELL("address",AI714))</f>
        <v>$AI$714</v>
      </c>
    </row>
    <row r="715" spans="1:15" ht="15" customHeight="1">
      <c r="A715" s="267"/>
      <c r="B715" s="267"/>
      <c r="C715" s="267"/>
      <c r="D715" s="45" t="s">
        <v>92</v>
      </c>
      <c r="E715" s="69">
        <v>0.208</v>
      </c>
      <c r="F715" s="98"/>
      <c r="G715" s="92" t="str">
        <f>CONCATENATE(D715," - ",E715,", ")</f>
        <v>3/ core XLPE Alu cable scrap - 0.208, </v>
      </c>
      <c r="H715" s="98"/>
      <c r="I715" s="98" t="e">
        <f ca="1">IF(G714&gt;=6,(MID(H715,1,1)&amp;MID(H715,2,3)+1),CELL("address",Z715))</f>
        <v>#VALUE!</v>
      </c>
      <c r="J715" s="98" t="e">
        <f ca="1">IF(G714&gt;=7,(MID(I715,1,1)&amp;MID(I715,2,3)+1),CELL("address",AA715))</f>
        <v>#VALUE!</v>
      </c>
      <c r="K715" s="98" t="e">
        <f ca="1">IF(G714&gt;=8,(MID(J715,1,1)&amp;MID(J715,2,3)+1),CELL("address",AB715))</f>
        <v>#VALUE!</v>
      </c>
      <c r="L715" s="98" t="e">
        <f ca="1">IF(G714&gt;=9,(MID(K715,1,1)&amp;MID(K715,2,3)+1),CELL("address",AC715))</f>
        <v>#VALUE!</v>
      </c>
      <c r="M715" s="98" t="e">
        <f ca="1">IF(G714&gt;=10,(MID(L715,1,1)&amp;MID(L715,2,3)+1),CELL("address",AD715))</f>
        <v>#VALUE!</v>
      </c>
      <c r="N715" s="98" t="e">
        <f ca="1">IF(G714&gt;=11,(MID(M715,1,1)&amp;MID(M715,2,3)+1),CELL("address",AE715))</f>
        <v>#VALUE!</v>
      </c>
      <c r="O715" s="98" t="e">
        <f ca="1">IF(G714&gt;=12,(MID(N715,1,1)&amp;MID(N715,2,3)+1),CELL("address",AF715))</f>
        <v>#VALUE!</v>
      </c>
    </row>
    <row r="716" spans="1:8" ht="15" customHeight="1">
      <c r="A716" s="267"/>
      <c r="B716" s="267"/>
      <c r="C716" s="267"/>
      <c r="D716" s="45" t="s">
        <v>171</v>
      </c>
      <c r="E716" s="69">
        <v>0.158</v>
      </c>
      <c r="G716" s="92" t="str">
        <f>CONCATENATE(D716," - ",E716,", ")</f>
        <v>1/core PVC Alumn. Cable scrap - 0.158, </v>
      </c>
      <c r="H716" s="1"/>
    </row>
    <row r="717" spans="1:8" ht="15" customHeight="1">
      <c r="A717" s="267"/>
      <c r="B717" s="267"/>
      <c r="C717" s="267"/>
      <c r="D717" s="45" t="s">
        <v>90</v>
      </c>
      <c r="E717" s="69">
        <v>0.143</v>
      </c>
      <c r="G717" s="92" t="str">
        <f>CONCATENATE(D717," - ",E717,", ")</f>
        <v>2/core PVC Alumn. Cable scrap - 0.143, </v>
      </c>
      <c r="H717" s="1"/>
    </row>
    <row r="718" spans="1:8" ht="15" customHeight="1">
      <c r="A718" s="51"/>
      <c r="B718" s="54"/>
      <c r="C718" s="97"/>
      <c r="D718" s="34"/>
      <c r="E718" s="227"/>
      <c r="H718" s="1"/>
    </row>
    <row r="719" spans="1:8" ht="15" customHeight="1">
      <c r="A719" s="40"/>
      <c r="B719" s="286"/>
      <c r="C719" s="287"/>
      <c r="D719" s="230"/>
      <c r="E719" s="57">
        <f>SUM(E721:E723)</f>
        <v>1.7309999999999999</v>
      </c>
      <c r="H719" s="1"/>
    </row>
    <row r="720" spans="1:18" ht="15" customHeight="1">
      <c r="A720" s="40" t="s">
        <v>5</v>
      </c>
      <c r="B720" s="267" t="s">
        <v>17</v>
      </c>
      <c r="C720" s="267"/>
      <c r="D720" s="222" t="s">
        <v>18</v>
      </c>
      <c r="E720" s="39" t="s">
        <v>7</v>
      </c>
      <c r="F720" s="98"/>
      <c r="G720" s="93" t="str">
        <f>CONCATENATE("Cable Scrap, Lying at ",B721,". Quantity in MT - ")</f>
        <v>Cable Scrap, Lying at OL Fazilka. Quantity in MT - </v>
      </c>
      <c r="H720" s="285" t="str">
        <f ca="1">CONCATENATE(G720,G721,(INDIRECT(I721)),(INDIRECT(J721)),(INDIRECT(K721)),(INDIRECT(L721)),(INDIRECT(M721)),(INDIRECT(N721)),(INDIRECT(O721)),(INDIRECT(P721)),(INDIRECT(Q721)),(INDIRECT(R721)))</f>
        <v>Cable Scrap, Lying at OL Fazilka. Quantity in MT - 2/core PVC Alumn. Cable scrap - 0.106, 4/core PVC Alumn. Cable scrap - 0.471, 3/ core XLPE Alu cable scrap - 1.154, </v>
      </c>
      <c r="I720" s="98" t="str">
        <f aca="true" ca="1" t="array" ref="I720">CELL("address",INDEX(G720:G744,MATCH(TRUE,ISBLANK(G720:G744),0)))</f>
        <v>$G$724</v>
      </c>
      <c r="J720" s="98">
        <f aca="true" t="array" ref="J720">MATCH(TRUE,ISBLANK(G720:G744),0)</f>
        <v>5</v>
      </c>
      <c r="K720" s="98">
        <f>J720-3</f>
        <v>2</v>
      </c>
      <c r="L720" s="98"/>
      <c r="M720" s="98"/>
      <c r="N720" s="98"/>
      <c r="O720" s="98"/>
      <c r="P720" s="98"/>
      <c r="Q720" s="98"/>
      <c r="R720" s="98"/>
    </row>
    <row r="721" spans="1:18" ht="15" customHeight="1">
      <c r="A721" s="267" t="s">
        <v>253</v>
      </c>
      <c r="B721" s="267" t="s">
        <v>112</v>
      </c>
      <c r="C721" s="267"/>
      <c r="D721" s="45" t="s">
        <v>90</v>
      </c>
      <c r="E721" s="69">
        <v>0.106</v>
      </c>
      <c r="F721" s="98"/>
      <c r="G721" s="92" t="str">
        <f>CONCATENATE(D721," - ",E721,", ")</f>
        <v>2/core PVC Alumn. Cable scrap - 0.106, </v>
      </c>
      <c r="H721" s="285"/>
      <c r="I721" s="98" t="str">
        <f ca="1">IF(J720&gt;=3,(MID(I720,2,1)&amp;MID(I720,4,3)-K720),CELL("address",Z721))</f>
        <v>G722</v>
      </c>
      <c r="J721" s="98" t="str">
        <f ca="1">IF(J720&gt;=4,(MID(I721,1,1)&amp;MID(I721,2,3)+1),CELL("address",AA721))</f>
        <v>G723</v>
      </c>
      <c r="K721" s="98" t="str">
        <f ca="1">IF(J720&gt;=5,(MID(J721,1,1)&amp;MID(J721,2,3)+1),CELL("address",AB721))</f>
        <v>G724</v>
      </c>
      <c r="L721" s="98" t="str">
        <f ca="1">IF(J720&gt;=6,(MID(K721,1,1)&amp;MID(K721,2,3)+1),CELL("address",AC721))</f>
        <v>$AC$721</v>
      </c>
      <c r="M721" s="98" t="str">
        <f ca="1">IF(J720&gt;=7,(MID(L721,1,1)&amp;MID(L721,2,3)+1),CELL("address",AD721))</f>
        <v>$AD$721</v>
      </c>
      <c r="N721" s="98" t="str">
        <f ca="1">IF(J720&gt;=8,(MID(M721,1,1)&amp;MID(M721,2,3)+1),CELL("address",AE721))</f>
        <v>$AE$721</v>
      </c>
      <c r="O721" s="98" t="str">
        <f ca="1">IF(J720&gt;=9,(MID(N721,1,1)&amp;MID(N721,2,3)+1),CELL("address",AF721))</f>
        <v>$AF$721</v>
      </c>
      <c r="P721" s="98" t="str">
        <f ca="1">IF(J720&gt;=10,(MID(O721,1,1)&amp;MID(O721,2,3)+1),CELL("address",AG721))</f>
        <v>$AG$721</v>
      </c>
      <c r="Q721" s="98" t="str">
        <f ca="1">IF(J720&gt;=11,(MID(P721,1,1)&amp;MID(P721,2,3)+1),CELL("address",AH721))</f>
        <v>$AH$721</v>
      </c>
      <c r="R721" s="98" t="str">
        <f ca="1">IF(J720&gt;=12,(MID(Q721,1,1)&amp;MID(Q721,2,3)+1),CELL("address",AI721))</f>
        <v>$AI$721</v>
      </c>
    </row>
    <row r="722" spans="1:8" ht="15" customHeight="1">
      <c r="A722" s="267"/>
      <c r="B722" s="267"/>
      <c r="C722" s="267"/>
      <c r="D722" s="45" t="s">
        <v>91</v>
      </c>
      <c r="E722" s="69">
        <v>0.471</v>
      </c>
      <c r="G722" s="92" t="str">
        <f>CONCATENATE(D722," - ",E722,", ")</f>
        <v>4/core PVC Alumn. Cable scrap - 0.471, </v>
      </c>
      <c r="H722" s="1"/>
    </row>
    <row r="723" spans="1:8" ht="15" customHeight="1">
      <c r="A723" s="267"/>
      <c r="B723" s="267"/>
      <c r="C723" s="267"/>
      <c r="D723" s="81" t="s">
        <v>92</v>
      </c>
      <c r="E723" s="69">
        <v>1.154</v>
      </c>
      <c r="G723" s="92" t="str">
        <f>CONCATENATE(D723," - ",E723,", ")</f>
        <v>3/ core XLPE Alu cable scrap - 1.154, </v>
      </c>
      <c r="H723" s="1"/>
    </row>
    <row r="724" spans="1:8" ht="15" customHeight="1">
      <c r="A724" s="39"/>
      <c r="B724" s="41"/>
      <c r="C724" s="42"/>
      <c r="D724" s="45"/>
      <c r="E724" s="69"/>
      <c r="H724" s="1"/>
    </row>
    <row r="725" spans="1:8" ht="15" customHeight="1">
      <c r="A725" s="50"/>
      <c r="B725" s="231"/>
      <c r="C725" s="232"/>
      <c r="D725" s="80"/>
      <c r="E725" s="183">
        <f>SUM(E727:E730)</f>
        <v>3.199</v>
      </c>
      <c r="H725" s="1"/>
    </row>
    <row r="726" spans="1:18" ht="15" customHeight="1">
      <c r="A726" s="40" t="s">
        <v>5</v>
      </c>
      <c r="B726" s="269" t="s">
        <v>17</v>
      </c>
      <c r="C726" s="270"/>
      <c r="D726" s="223" t="s">
        <v>18</v>
      </c>
      <c r="E726" s="39" t="s">
        <v>7</v>
      </c>
      <c r="G726" s="93" t="str">
        <f>CONCATENATE("Cable Scrap, Lying at ",B727,". Quantity in MT - ")</f>
        <v>Cable Scrap, Lying at OL Malerkotla. Quantity in MT - </v>
      </c>
      <c r="H726" s="285" t="str">
        <f ca="1">CONCATENATE(G726,G727,(INDIRECT(I727)),(INDIRECT(J727)),(INDIRECT(K727)),(INDIRECT(L727)),(INDIRECT(M727)),(INDIRECT(N727)),(INDIRECT(O727)),(INDIRECT(P727)),(INDIRECT(Q727)),(INDIRECT(R727)))</f>
        <v>Cable Scrap, Lying at OL Malerkotla. Quantity in MT - 2/core PVC Alumn. Cable scrap - 0.512, 4/core PVC Alumn. Cable scrap - 0.688, 3/ core XLPE Alu cable scrap - 0.975, ABC cable scrap (70/95 mm) - 1.024, </v>
      </c>
      <c r="I726" s="98" t="str">
        <f aca="true" ca="1" t="array" ref="I726">CELL("address",INDEX(G726:G750,MATCH(TRUE,ISBLANK(G726:G750),0)))</f>
        <v>$G$731</v>
      </c>
      <c r="J726" s="98">
        <f aca="true" t="array" ref="J726">MATCH(TRUE,ISBLANK(G726:G750),0)</f>
        <v>6</v>
      </c>
      <c r="K726" s="98">
        <f>J726-3</f>
        <v>3</v>
      </c>
      <c r="L726" s="98"/>
      <c r="M726" s="98"/>
      <c r="N726" s="98"/>
      <c r="O726" s="98"/>
      <c r="P726" s="98"/>
      <c r="Q726" s="98"/>
      <c r="R726" s="98"/>
    </row>
    <row r="727" spans="1:18" ht="15" customHeight="1">
      <c r="A727" s="267" t="s">
        <v>265</v>
      </c>
      <c r="B727" s="267" t="s">
        <v>126</v>
      </c>
      <c r="C727" s="267"/>
      <c r="D727" s="45" t="s">
        <v>90</v>
      </c>
      <c r="E727" s="39">
        <v>0.512</v>
      </c>
      <c r="F727" s="98"/>
      <c r="G727" s="92" t="str">
        <f>CONCATENATE(D727," - ",E727,", ")</f>
        <v>2/core PVC Alumn. Cable scrap - 0.512, </v>
      </c>
      <c r="H727" s="285"/>
      <c r="I727" s="98" t="str">
        <f ca="1">IF(J726&gt;=3,(MID(I726,2,1)&amp;MID(I726,4,3)-K726),CELL("address",Z727))</f>
        <v>G728</v>
      </c>
      <c r="J727" s="98" t="str">
        <f ca="1">IF(J726&gt;=4,(MID(I727,1,1)&amp;MID(I727,2,3)+1),CELL("address",AA727))</f>
        <v>G729</v>
      </c>
      <c r="K727" s="98" t="str">
        <f ca="1">IF(J726&gt;=5,(MID(J727,1,1)&amp;MID(J727,2,3)+1),CELL("address",AB727))</f>
        <v>G730</v>
      </c>
      <c r="L727" s="98" t="str">
        <f ca="1">IF(J726&gt;=6,(MID(K727,1,1)&amp;MID(K727,2,3)+1),CELL("address",AC727))</f>
        <v>G731</v>
      </c>
      <c r="M727" s="98" t="str">
        <f ca="1">IF(J726&gt;=7,(MID(L727,1,1)&amp;MID(L727,2,3)+1),CELL("address",AD727))</f>
        <v>$AD$727</v>
      </c>
      <c r="N727" s="98" t="str">
        <f ca="1">IF(J726&gt;=8,(MID(M727,1,1)&amp;MID(M727,2,3)+1),CELL("address",AE727))</f>
        <v>$AE$727</v>
      </c>
      <c r="O727" s="98" t="str">
        <f ca="1">IF(J726&gt;=9,(MID(N727,1,1)&amp;MID(N727,2,3)+1),CELL("address",AF727))</f>
        <v>$AF$727</v>
      </c>
      <c r="P727" s="98" t="str">
        <f ca="1">IF(J726&gt;=10,(MID(O727,1,1)&amp;MID(O727,2,3)+1),CELL("address",AG727))</f>
        <v>$AG$727</v>
      </c>
      <c r="Q727" s="98" t="str">
        <f ca="1">IF(J726&gt;=11,(MID(P727,1,1)&amp;MID(P727,2,3)+1),CELL("address",AH727))</f>
        <v>$AH$727</v>
      </c>
      <c r="R727" s="98" t="str">
        <f ca="1">IF(J726&gt;=12,(MID(Q727,1,1)&amp;MID(Q727,2,3)+1),CELL("address",AI727))</f>
        <v>$AI$727</v>
      </c>
    </row>
    <row r="728" spans="1:15" ht="15" customHeight="1">
      <c r="A728" s="267"/>
      <c r="B728" s="267"/>
      <c r="C728" s="267"/>
      <c r="D728" s="45" t="s">
        <v>91</v>
      </c>
      <c r="E728" s="69">
        <v>0.688</v>
      </c>
      <c r="F728" s="98"/>
      <c r="G728" s="92" t="str">
        <f>CONCATENATE(D728," - ",E728,", ")</f>
        <v>4/core PVC Alumn. Cable scrap - 0.688, </v>
      </c>
      <c r="H728" s="98"/>
      <c r="I728" s="98" t="e">
        <f ca="1">IF(G727&gt;=6,(MID(H728,1,1)&amp;MID(H728,2,3)+1),CELL("address",Z728))</f>
        <v>#VALUE!</v>
      </c>
      <c r="J728" s="98" t="e">
        <f ca="1">IF(G727&gt;=7,(MID(I728,1,1)&amp;MID(I728,2,3)+1),CELL("address",AA728))</f>
        <v>#VALUE!</v>
      </c>
      <c r="K728" s="98" t="e">
        <f ca="1">IF(G727&gt;=8,(MID(J728,1,1)&amp;MID(J728,2,3)+1),CELL("address",AB728))</f>
        <v>#VALUE!</v>
      </c>
      <c r="L728" s="98" t="e">
        <f ca="1">IF(G727&gt;=9,(MID(K728,1,1)&amp;MID(K728,2,3)+1),CELL("address",AC728))</f>
        <v>#VALUE!</v>
      </c>
      <c r="M728" s="98" t="e">
        <f ca="1">IF(G727&gt;=10,(MID(L728,1,1)&amp;MID(L728,2,3)+1),CELL("address",AD728))</f>
        <v>#VALUE!</v>
      </c>
      <c r="N728" s="98" t="e">
        <f ca="1">IF(G727&gt;=11,(MID(M728,1,1)&amp;MID(M728,2,3)+1),CELL("address",AE728))</f>
        <v>#VALUE!</v>
      </c>
      <c r="O728" s="98" t="e">
        <f ca="1">IF(G727&gt;=12,(MID(N728,1,1)&amp;MID(N728,2,3)+1),CELL("address",AF728))</f>
        <v>#VALUE!</v>
      </c>
    </row>
    <row r="729" spans="1:8" ht="15" customHeight="1">
      <c r="A729" s="267"/>
      <c r="B729" s="267"/>
      <c r="C729" s="267"/>
      <c r="D729" s="45" t="s">
        <v>92</v>
      </c>
      <c r="E729" s="69">
        <v>0.975</v>
      </c>
      <c r="G729" s="92" t="str">
        <f>CONCATENATE(D729," - ",E729,", ")</f>
        <v>3/ core XLPE Alu cable scrap - 0.975, </v>
      </c>
      <c r="H729" s="1"/>
    </row>
    <row r="730" spans="1:8" ht="15" customHeight="1">
      <c r="A730" s="267"/>
      <c r="B730" s="267"/>
      <c r="C730" s="267"/>
      <c r="D730" s="71" t="s">
        <v>168</v>
      </c>
      <c r="E730" s="197">
        <v>1.024</v>
      </c>
      <c r="G730" s="92" t="str">
        <f>CONCATENATE(D730," - ",E730,", ")</f>
        <v>ABC cable scrap (70/95 mm) - 1.024, </v>
      </c>
      <c r="H730" s="1"/>
    </row>
    <row r="731" spans="1:8" ht="15" customHeight="1">
      <c r="A731" s="39"/>
      <c r="B731" s="41"/>
      <c r="C731" s="42"/>
      <c r="D731" s="76"/>
      <c r="E731" s="179"/>
      <c r="H731" s="1"/>
    </row>
    <row r="732" spans="1:8" ht="15" customHeight="1">
      <c r="A732" s="50"/>
      <c r="B732" s="231"/>
      <c r="C732" s="232"/>
      <c r="D732" s="80"/>
      <c r="E732" s="183">
        <f>SUM(E734:E737)</f>
        <v>4.92</v>
      </c>
      <c r="H732" s="1"/>
    </row>
    <row r="733" spans="1:18" ht="15" customHeight="1">
      <c r="A733" s="40" t="s">
        <v>5</v>
      </c>
      <c r="B733" s="269" t="s">
        <v>17</v>
      </c>
      <c r="C733" s="270"/>
      <c r="D733" s="223" t="s">
        <v>18</v>
      </c>
      <c r="E733" s="39" t="s">
        <v>7</v>
      </c>
      <c r="G733" s="93" t="str">
        <f>CONCATENATE("Cable Scrap, Lying at ",B734,". Quantity in MT - ")</f>
        <v>Cable Scrap, Lying at OL Moga. Quantity in MT - </v>
      </c>
      <c r="H733" s="285" t="str">
        <f ca="1">CONCATENATE(G733,G734,(INDIRECT(I734)),(INDIRECT(J734)),(INDIRECT(K734)),(INDIRECT(L734)),(INDIRECT(M734)),(INDIRECT(N734)),(INDIRECT(O734)),(INDIRECT(P734)),(INDIRECT(Q734)),(INDIRECT(R734)))</f>
        <v>Cable Scrap, Lying at OL Moga. Quantity in MT - 2/core PVC Alumn. Cable scrap - 1.19, 4/core PVC Alumn. Cable scrap - 1.994, 1/ core XLPE Alu cable scrap - 0.239, 3/ core XLPE Alu cable scrap - 1.497, </v>
      </c>
      <c r="I733" s="98" t="str">
        <f aca="true" ca="1" t="array" ref="I733">CELL("address",INDEX(G733:G757,MATCH(TRUE,ISBLANK(G733:G757),0)))</f>
        <v>$G$738</v>
      </c>
      <c r="J733" s="98">
        <f aca="true" t="array" ref="J733">MATCH(TRUE,ISBLANK(G733:G757),0)</f>
        <v>6</v>
      </c>
      <c r="K733" s="98">
        <f>J733-3</f>
        <v>3</v>
      </c>
      <c r="L733" s="98"/>
      <c r="M733" s="98"/>
      <c r="N733" s="98"/>
      <c r="O733" s="98"/>
      <c r="P733" s="98"/>
      <c r="Q733" s="98"/>
      <c r="R733" s="98"/>
    </row>
    <row r="734" spans="1:18" ht="15" customHeight="1">
      <c r="A734" s="267" t="s">
        <v>269</v>
      </c>
      <c r="B734" s="267" t="s">
        <v>270</v>
      </c>
      <c r="C734" s="267"/>
      <c r="D734" s="45" t="s">
        <v>90</v>
      </c>
      <c r="E734" s="39">
        <v>1.19</v>
      </c>
      <c r="G734" s="92" t="str">
        <f>CONCATENATE(D734," - ",E734,", ")</f>
        <v>2/core PVC Alumn. Cable scrap - 1.19, </v>
      </c>
      <c r="H734" s="285"/>
      <c r="I734" s="98" t="str">
        <f ca="1">IF(J733&gt;=3,(MID(I733,2,1)&amp;MID(I733,4,3)-K733),CELL("address",Z734))</f>
        <v>G735</v>
      </c>
      <c r="J734" s="98" t="str">
        <f ca="1">IF(J733&gt;=4,(MID(I734,1,1)&amp;MID(I734,2,3)+1),CELL("address",AA734))</f>
        <v>G736</v>
      </c>
      <c r="K734" s="98" t="str">
        <f ca="1">IF(J733&gt;=5,(MID(J734,1,1)&amp;MID(J734,2,3)+1),CELL("address",AB734))</f>
        <v>G737</v>
      </c>
      <c r="L734" s="98" t="str">
        <f ca="1">IF(J733&gt;=6,(MID(K734,1,1)&amp;MID(K734,2,3)+1),CELL("address",AC734))</f>
        <v>G738</v>
      </c>
      <c r="M734" s="98" t="str">
        <f ca="1">IF(J733&gt;=7,(MID(L734,1,1)&amp;MID(L734,2,3)+1),CELL("address",AD734))</f>
        <v>$AD$734</v>
      </c>
      <c r="N734" s="98" t="str">
        <f ca="1">IF(J733&gt;=8,(MID(M734,1,1)&amp;MID(M734,2,3)+1),CELL("address",AE734))</f>
        <v>$AE$734</v>
      </c>
      <c r="O734" s="98" t="str">
        <f ca="1">IF(J733&gt;=9,(MID(N734,1,1)&amp;MID(N734,2,3)+1),CELL("address",AF734))</f>
        <v>$AF$734</v>
      </c>
      <c r="P734" s="98" t="str">
        <f ca="1">IF(J733&gt;=10,(MID(O734,1,1)&amp;MID(O734,2,3)+1),CELL("address",AG734))</f>
        <v>$AG$734</v>
      </c>
      <c r="Q734" s="98" t="str">
        <f ca="1">IF(J733&gt;=11,(MID(P734,1,1)&amp;MID(P734,2,3)+1),CELL("address",AH734))</f>
        <v>$AH$734</v>
      </c>
      <c r="R734" s="98" t="str">
        <f ca="1">IF(J733&gt;=12,(MID(Q734,1,1)&amp;MID(Q734,2,3)+1),CELL("address",AI734))</f>
        <v>$AI$734</v>
      </c>
    </row>
    <row r="735" spans="1:15" ht="15" customHeight="1">
      <c r="A735" s="267"/>
      <c r="B735" s="267"/>
      <c r="C735" s="267"/>
      <c r="D735" s="45" t="s">
        <v>91</v>
      </c>
      <c r="E735" s="69">
        <v>1.994</v>
      </c>
      <c r="F735" s="98"/>
      <c r="G735" s="92" t="str">
        <f>CONCATENATE(D735," - ",E735,", ")</f>
        <v>4/core PVC Alumn. Cable scrap - 1.994, </v>
      </c>
      <c r="H735" s="98"/>
      <c r="I735" s="98"/>
      <c r="J735" s="98"/>
      <c r="K735" s="98"/>
      <c r="L735" s="98"/>
      <c r="M735" s="98"/>
      <c r="N735" s="98"/>
      <c r="O735" s="98"/>
    </row>
    <row r="736" spans="1:15" ht="15" customHeight="1">
      <c r="A736" s="267"/>
      <c r="B736" s="267"/>
      <c r="C736" s="267"/>
      <c r="D736" s="45" t="s">
        <v>97</v>
      </c>
      <c r="E736" s="69">
        <v>0.239</v>
      </c>
      <c r="F736" s="98"/>
      <c r="G736" s="92" t="str">
        <f>CONCATENATE(D736," - ",E736,", ")</f>
        <v>1/ core XLPE Alu cable scrap - 0.239, </v>
      </c>
      <c r="H736" s="98"/>
      <c r="I736" s="98" t="e">
        <f ca="1">IF(G735&gt;=6,(MID(H736,1,1)&amp;MID(H736,2,3)+1),CELL("address",Z736))</f>
        <v>#VALUE!</v>
      </c>
      <c r="J736" s="98" t="e">
        <f ca="1">IF(G735&gt;=7,(MID(I736,1,1)&amp;MID(I736,2,3)+1),CELL("address",AA736))</f>
        <v>#VALUE!</v>
      </c>
      <c r="K736" s="98" t="e">
        <f ca="1">IF(G735&gt;=8,(MID(J736,1,1)&amp;MID(J736,2,3)+1),CELL("address",AB736))</f>
        <v>#VALUE!</v>
      </c>
      <c r="L736" s="98" t="e">
        <f ca="1">IF(G735&gt;=9,(MID(K736,1,1)&amp;MID(K736,2,3)+1),CELL("address",AC736))</f>
        <v>#VALUE!</v>
      </c>
      <c r="M736" s="98" t="e">
        <f ca="1">IF(G735&gt;=10,(MID(L736,1,1)&amp;MID(L736,2,3)+1),CELL("address",AD736))</f>
        <v>#VALUE!</v>
      </c>
      <c r="N736" s="98" t="e">
        <f ca="1">IF(G735&gt;=11,(MID(M736,1,1)&amp;MID(M736,2,3)+1),CELL("address",AE736))</f>
        <v>#VALUE!</v>
      </c>
      <c r="O736" s="98" t="e">
        <f ca="1">IF(G735&gt;=12,(MID(N736,1,1)&amp;MID(N736,2,3)+1),CELL("address",AF736))</f>
        <v>#VALUE!</v>
      </c>
    </row>
    <row r="737" spans="1:8" ht="15" customHeight="1">
      <c r="A737" s="267"/>
      <c r="B737" s="267"/>
      <c r="C737" s="267"/>
      <c r="D737" s="45" t="s">
        <v>92</v>
      </c>
      <c r="E737" s="197">
        <v>1.497</v>
      </c>
      <c r="G737" s="92" t="str">
        <f>CONCATENATE(D737," - ",E737,", ")</f>
        <v>3/ core XLPE Alu cable scrap - 1.497, </v>
      </c>
      <c r="H737" s="1"/>
    </row>
    <row r="738" spans="1:8" ht="13.5" customHeight="1">
      <c r="A738" s="39"/>
      <c r="B738" s="41"/>
      <c r="C738" s="42"/>
      <c r="D738" s="34"/>
      <c r="E738" s="179"/>
      <c r="H738" s="1"/>
    </row>
    <row r="739" spans="1:8" ht="20.25" customHeight="1">
      <c r="A739" s="12" t="s">
        <v>13</v>
      </c>
      <c r="B739" s="13"/>
      <c r="C739" s="9"/>
      <c r="D739" s="34"/>
      <c r="E739" s="184"/>
      <c r="H739" s="1"/>
    </row>
    <row r="740" spans="1:15" ht="15" customHeight="1">
      <c r="A740" s="53"/>
      <c r="B740" s="54"/>
      <c r="C740" s="55"/>
      <c r="D740" s="55"/>
      <c r="E740" s="168">
        <f>SUM(E742:E743)</f>
        <v>22.312</v>
      </c>
      <c r="F740" s="98"/>
      <c r="G740" s="98"/>
      <c r="H740" s="98"/>
      <c r="I740" s="98"/>
      <c r="J740" s="98"/>
      <c r="K740" s="98"/>
      <c r="L740" s="98"/>
      <c r="M740" s="98"/>
      <c r="N740" s="98"/>
      <c r="O740" s="98"/>
    </row>
    <row r="741" spans="1:18" ht="15" customHeight="1">
      <c r="A741" s="267" t="s">
        <v>5</v>
      </c>
      <c r="B741" s="267"/>
      <c r="C741" s="56" t="s">
        <v>17</v>
      </c>
      <c r="D741" s="222" t="s">
        <v>18</v>
      </c>
      <c r="E741" s="39" t="s">
        <v>7</v>
      </c>
      <c r="F741" s="98"/>
      <c r="G741" s="93" t="str">
        <f>CONCATENATE("Misc. Iron Scrap, Lying at ",C742,". Quantity in MT - ")</f>
        <v>Misc. Iron Scrap, Lying at Pilot W/Shop Sri Muktsar Sahib. Quantity in MT - </v>
      </c>
      <c r="H741" s="285" t="str">
        <f ca="1">CONCATENATE(G741,G742,(INDIRECT(I742)),(INDIRECT(J742)),(INDIRECT(K742)),(INDIRECT(L742)),(INDIRECT(M742)),(INDIRECT(N742)),(INDIRECT(O742)),(INDIRECT(P742)),(INDIRECT(Q742)),(INDIRECT(R742)),".")</f>
        <v>Misc. Iron Scrap, Lying at Pilot W/Shop Sri Muktsar Sahib. Quantity in MT - MS iron scrap / GI scrap - 10.182, HT wire scrap off size - 12.13, .</v>
      </c>
      <c r="I741" s="98" t="str">
        <f aca="true" ca="1" t="array" ref="I741">CELL("address",INDEX(G741:G759,MATCH(TRUE,ISBLANK(G741:G759),0)))</f>
        <v>$G$744</v>
      </c>
      <c r="J741" s="98">
        <f aca="true" t="array" ref="J741">MATCH(TRUE,ISBLANK(G741:G759),0)</f>
        <v>4</v>
      </c>
      <c r="K741" s="98">
        <f>J741-3</f>
        <v>1</v>
      </c>
      <c r="L741" s="98"/>
      <c r="M741" s="98"/>
      <c r="N741" s="98"/>
      <c r="O741" s="98"/>
      <c r="P741" s="98"/>
      <c r="Q741" s="98"/>
      <c r="R741" s="98"/>
    </row>
    <row r="742" spans="1:18" ht="15" customHeight="1">
      <c r="A742" s="279" t="s">
        <v>21</v>
      </c>
      <c r="B742" s="298"/>
      <c r="C742" s="268" t="s">
        <v>19</v>
      </c>
      <c r="D742" s="40" t="s">
        <v>20</v>
      </c>
      <c r="E742" s="69">
        <v>10.182</v>
      </c>
      <c r="G742" s="92" t="str">
        <f>CONCATENATE(D742," - ",E742,", ")</f>
        <v>MS iron scrap / GI scrap - 10.182, </v>
      </c>
      <c r="H742" s="285"/>
      <c r="I742" s="98" t="str">
        <f ca="1">IF(J741&gt;=3,(MID(I741,2,1)&amp;MID(I741,4,3)-K741),CELL("address",Z742))</f>
        <v>G743</v>
      </c>
      <c r="J742" s="98" t="str">
        <f ca="1">IF(J741&gt;=4,(MID(I742,1,1)&amp;MID(I742,2,3)+1),CELL("address",AA742))</f>
        <v>G744</v>
      </c>
      <c r="K742" s="98" t="str">
        <f ca="1">IF(J741&gt;=5,(MID(J742,1,1)&amp;MID(J742,2,3)+1),CELL("address",AB742))</f>
        <v>$AB$742</v>
      </c>
      <c r="L742" s="98" t="str">
        <f ca="1">IF(J741&gt;=6,(MID(K742,1,1)&amp;MID(K742,2,3)+1),CELL("address",AC742))</f>
        <v>$AC$742</v>
      </c>
      <c r="M742" s="98" t="str">
        <f ca="1">IF(J741&gt;=7,(MID(L742,1,1)&amp;MID(L742,2,3)+1),CELL("address",AD742))</f>
        <v>$AD$742</v>
      </c>
      <c r="N742" s="98" t="str">
        <f ca="1">IF(J741&gt;=8,(MID(M742,1,1)&amp;MID(M742,2,3)+1),CELL("address",AE742))</f>
        <v>$AE$742</v>
      </c>
      <c r="O742" s="98" t="str">
        <f ca="1">IF(J741&gt;=9,(MID(N742,1,1)&amp;MID(N742,2,3)+1),CELL("address",AF742))</f>
        <v>$AF$742</v>
      </c>
      <c r="P742" s="98" t="str">
        <f ca="1">IF(J741&gt;=10,(MID(O742,1,1)&amp;MID(O742,2,3)+1),CELL("address",AG742))</f>
        <v>$AG$742</v>
      </c>
      <c r="Q742" s="98" t="str">
        <f ca="1">IF(J741&gt;=11,(MID(P742,1,1)&amp;MID(P742,2,3)+1),CELL("address",AH742))</f>
        <v>$AH$742</v>
      </c>
      <c r="R742" s="98" t="str">
        <f ca="1">IF(J741&gt;=12,(MID(Q742,1,1)&amp;MID(Q742,2,3)+1),CELL("address",AI742))</f>
        <v>$AI$742</v>
      </c>
    </row>
    <row r="743" spans="1:8" ht="15" customHeight="1">
      <c r="A743" s="299"/>
      <c r="B743" s="300"/>
      <c r="C743" s="350"/>
      <c r="D743" s="40" t="s">
        <v>71</v>
      </c>
      <c r="E743" s="69">
        <v>12.13</v>
      </c>
      <c r="G743" s="92" t="str">
        <f>CONCATENATE(D743," - ",E743,", ")</f>
        <v>HT wire scrap off size - 12.13, </v>
      </c>
      <c r="H743" s="1"/>
    </row>
    <row r="744" spans="1:8" ht="15" customHeight="1">
      <c r="A744" s="39"/>
      <c r="B744" s="41"/>
      <c r="C744" s="48"/>
      <c r="D744" s="38"/>
      <c r="E744" s="185"/>
      <c r="G744" s="92"/>
      <c r="H744" s="1"/>
    </row>
    <row r="745" spans="1:15" ht="15" customHeight="1">
      <c r="A745" s="53"/>
      <c r="B745" s="54"/>
      <c r="C745" s="55"/>
      <c r="D745" s="55"/>
      <c r="E745" s="168">
        <f>SUM(E747:E748)</f>
        <v>19.325</v>
      </c>
      <c r="F745" s="98"/>
      <c r="G745" s="98"/>
      <c r="H745" s="98"/>
      <c r="I745" s="98"/>
      <c r="J745" s="98"/>
      <c r="K745" s="98"/>
      <c r="L745" s="98"/>
      <c r="M745" s="98"/>
      <c r="N745" s="98"/>
      <c r="O745" s="98"/>
    </row>
    <row r="746" spans="1:18" ht="15" customHeight="1">
      <c r="A746" s="267" t="s">
        <v>5</v>
      </c>
      <c r="B746" s="267"/>
      <c r="C746" s="56" t="s">
        <v>17</v>
      </c>
      <c r="D746" s="222" t="s">
        <v>18</v>
      </c>
      <c r="E746" s="39" t="s">
        <v>7</v>
      </c>
      <c r="F746" s="98"/>
      <c r="G746" s="93" t="str">
        <f>CONCATENATE("Misc. Iron Scrap, Lying at ",C747,". Quantity in MT - ")</f>
        <v>Misc. Iron Scrap, Lying at Pilot Workshop Mohali. Quantity in MT - </v>
      </c>
      <c r="H746" s="285" t="str">
        <f ca="1">CONCATENATE(G746,G747,(INDIRECT(I747)),(INDIRECT(J747)),(INDIRECT(K747)),(INDIRECT(L747)),(INDIRECT(M747)),(INDIRECT(N747)),(INDIRECT(O747)),(INDIRECT(P747)),(INDIRECT(Q747)),(INDIRECT(R747)),".")</f>
        <v>Misc. Iron Scrap, Lying at Pilot Workshop Mohali. Quantity in MT - HT Wire scrap &amp; other intermingled iron scrap - 14, MS iron scrap ( MS sections, scrapped T&amp;P etc) - 5.325, .</v>
      </c>
      <c r="I746" s="98" t="str">
        <f aca="true" ca="1" t="array" ref="I746">CELL("address",INDEX(G746:G764,MATCH(TRUE,ISBLANK(G746:G764),0)))</f>
        <v>$G$749</v>
      </c>
      <c r="J746" s="98">
        <f aca="true" t="array" ref="J746">MATCH(TRUE,ISBLANK(G746:G764),0)</f>
        <v>4</v>
      </c>
      <c r="K746" s="98">
        <f>J746-3</f>
        <v>1</v>
      </c>
      <c r="L746" s="98"/>
      <c r="M746" s="98"/>
      <c r="N746" s="98"/>
      <c r="O746" s="98"/>
      <c r="P746" s="98"/>
      <c r="Q746" s="98"/>
      <c r="R746" s="98"/>
    </row>
    <row r="747" spans="1:18" ht="15" customHeight="1">
      <c r="A747" s="267" t="s">
        <v>30</v>
      </c>
      <c r="B747" s="267"/>
      <c r="C747" s="268" t="s">
        <v>54</v>
      </c>
      <c r="D747" s="42" t="s">
        <v>55</v>
      </c>
      <c r="E747" s="69">
        <v>14</v>
      </c>
      <c r="G747" s="92" t="str">
        <f>CONCATENATE(D747," - ",E747,", ")</f>
        <v>HT Wire scrap &amp; other intermingled iron scrap - 14, </v>
      </c>
      <c r="H747" s="285"/>
      <c r="I747" s="98" t="str">
        <f ca="1">IF(J746&gt;=3,(MID(I746,2,1)&amp;MID(I746,4,3)-K746),CELL("address",Z747))</f>
        <v>G748</v>
      </c>
      <c r="J747" s="98" t="str">
        <f ca="1">IF(J746&gt;=4,(MID(I747,1,1)&amp;MID(I747,2,3)+1),CELL("address",AA747))</f>
        <v>G749</v>
      </c>
      <c r="K747" s="98" t="str">
        <f ca="1">IF(J746&gt;=5,(MID(J747,1,1)&amp;MID(J747,2,3)+1),CELL("address",AB747))</f>
        <v>$AB$747</v>
      </c>
      <c r="L747" s="98" t="str">
        <f ca="1">IF(J746&gt;=6,(MID(K747,1,1)&amp;MID(K747,2,3)+1),CELL("address",AC747))</f>
        <v>$AC$747</v>
      </c>
      <c r="M747" s="98" t="str">
        <f ca="1">IF(J746&gt;=7,(MID(L747,1,1)&amp;MID(L747,2,3)+1),CELL("address",AD747))</f>
        <v>$AD$747</v>
      </c>
      <c r="N747" s="98" t="str">
        <f ca="1">IF(J746&gt;=8,(MID(M747,1,1)&amp;MID(M747,2,3)+1),CELL("address",AE747))</f>
        <v>$AE$747</v>
      </c>
      <c r="O747" s="98" t="str">
        <f ca="1">IF(J746&gt;=9,(MID(N747,1,1)&amp;MID(N747,2,3)+1),CELL("address",AF747))</f>
        <v>$AF$747</v>
      </c>
      <c r="P747" s="98" t="str">
        <f ca="1">IF(J746&gt;=10,(MID(O747,1,1)&amp;MID(O747,2,3)+1),CELL("address",AG747))</f>
        <v>$AG$747</v>
      </c>
      <c r="Q747" s="98" t="str">
        <f ca="1">IF(J746&gt;=11,(MID(P747,1,1)&amp;MID(P747,2,3)+1),CELL("address",AH747))</f>
        <v>$AH$747</v>
      </c>
      <c r="R747" s="98" t="str">
        <f ca="1">IF(J746&gt;=12,(MID(Q747,1,1)&amp;MID(Q747,2,3)+1),CELL("address",AI747))</f>
        <v>$AI$747</v>
      </c>
    </row>
    <row r="748" spans="1:8" ht="15" customHeight="1">
      <c r="A748" s="267"/>
      <c r="B748" s="267"/>
      <c r="C748" s="268"/>
      <c r="D748" s="74" t="s">
        <v>56</v>
      </c>
      <c r="E748" s="69">
        <v>5.325</v>
      </c>
      <c r="G748" s="92" t="str">
        <f>CONCATENATE(D748," - ",E748,", ")</f>
        <v>MS iron scrap ( MS sections, scrapped T&amp;P etc) - 5.325, </v>
      </c>
      <c r="H748" s="1"/>
    </row>
    <row r="749" spans="1:15" ht="15" customHeight="1">
      <c r="A749" s="39"/>
      <c r="B749" s="41"/>
      <c r="C749" s="48"/>
      <c r="D749" s="38"/>
      <c r="E749" s="185"/>
      <c r="F749" s="98"/>
      <c r="G749" s="98"/>
      <c r="H749" s="98"/>
      <c r="I749" s="98"/>
      <c r="J749" s="98"/>
      <c r="K749" s="98"/>
      <c r="L749" s="98"/>
      <c r="M749" s="98"/>
      <c r="N749" s="98"/>
      <c r="O749" s="98"/>
    </row>
    <row r="750" spans="1:15" ht="15" customHeight="1">
      <c r="A750" s="53"/>
      <c r="B750" s="54"/>
      <c r="C750" s="54"/>
      <c r="D750" s="55"/>
      <c r="E750" s="165">
        <f>SUM(E752:E752)</f>
        <v>26687</v>
      </c>
      <c r="F750" s="98"/>
      <c r="G750" s="98"/>
      <c r="H750" s="98"/>
      <c r="I750" s="98" t="str">
        <f ca="1">IF(G749&gt;=6,(MID(H750,1,1)&amp;MID(H750,2,3)+1),CELL("address",Z750))</f>
        <v>$Z$750</v>
      </c>
      <c r="J750" s="98" t="str">
        <f ca="1">IF(G749&gt;=7,(MID(I750,1,1)&amp;MID(I750,2,3)+1),CELL("address",AA750))</f>
        <v>$AA$750</v>
      </c>
      <c r="K750" s="98" t="str">
        <f ca="1">IF(G749&gt;=8,(MID(J750,1,1)&amp;MID(J750,2,3)+1),CELL("address",AB750))</f>
        <v>$AB$750</v>
      </c>
      <c r="L750" s="98" t="str">
        <f ca="1">IF(G749&gt;=9,(MID(K750,1,1)&amp;MID(K750,2,3)+1),CELL("address",AC750))</f>
        <v>$AC$750</v>
      </c>
      <c r="M750" s="98" t="str">
        <f ca="1">IF(G749&gt;=10,(MID(L750,1,1)&amp;MID(L750,2,3)+1),CELL("address",AD750))</f>
        <v>$AD$750</v>
      </c>
      <c r="N750" s="98" t="str">
        <f ca="1">IF(G749&gt;=11,(MID(M750,1,1)&amp;MID(M750,2,3)+1),CELL("address",AE750))</f>
        <v>$AE$750</v>
      </c>
      <c r="O750" s="98" t="str">
        <f ca="1">IF(G749&gt;=12,(MID(N750,1,1)&amp;MID(N750,2,3)+1),CELL("address",AF750))</f>
        <v>$AF$750</v>
      </c>
    </row>
    <row r="751" spans="1:18" ht="15" customHeight="1">
      <c r="A751" s="267" t="s">
        <v>5</v>
      </c>
      <c r="B751" s="267"/>
      <c r="C751" s="40" t="s">
        <v>17</v>
      </c>
      <c r="D751" s="222" t="s">
        <v>18</v>
      </c>
      <c r="E751" s="39" t="s">
        <v>69</v>
      </c>
      <c r="G751" s="93" t="str">
        <f>CONCATENATE("Misc. Iron Scrap, Lying at ",C752,". Quantity in No - ")</f>
        <v>Misc. Iron Scrap, Lying at S &amp; T Store Bathinda. Quantity in No - </v>
      </c>
      <c r="H751" s="285" t="str">
        <f ca="1">CONCATENATE(G751,G752,(INDIRECT(I752)),(INDIRECT(J752)),(INDIRECT(K752)),(INDIRECT(L752)),(INDIRECT(M752)),(INDIRECT(N752)),(INDIRECT(O752)),(INDIRECT(P752)),(INDIRECT(Q752)),(INDIRECT(R752)),".")</f>
        <v>Misc. Iron Scrap, Lying at S &amp; T Store Bathinda. Quantity in No - Disc Insulator Scrap - 26687, .</v>
      </c>
      <c r="I751" s="98" t="str">
        <f aca="true" ca="1" t="array" ref="I751">CELL("address",INDEX(G751:G769,MATCH(TRUE,ISBLANK(G751:G769),0)))</f>
        <v>$G$753</v>
      </c>
      <c r="J751" s="98">
        <f aca="true" t="array" ref="J751">MATCH(TRUE,ISBLANK(G751:G769),0)</f>
        <v>3</v>
      </c>
      <c r="K751" s="98">
        <f>J751-3</f>
        <v>0</v>
      </c>
      <c r="L751" s="98"/>
      <c r="M751" s="98"/>
      <c r="N751" s="98"/>
      <c r="O751" s="98"/>
      <c r="P751" s="98"/>
      <c r="Q751" s="98"/>
      <c r="R751" s="98"/>
    </row>
    <row r="752" spans="1:18" ht="15" customHeight="1">
      <c r="A752" s="279" t="s">
        <v>33</v>
      </c>
      <c r="B752" s="280"/>
      <c r="C752" s="225" t="s">
        <v>57</v>
      </c>
      <c r="D752" s="40" t="s">
        <v>70</v>
      </c>
      <c r="E752" s="166">
        <v>26687</v>
      </c>
      <c r="G752" s="92" t="str">
        <f>CONCATENATE(D752," - ",E752,", ")</f>
        <v>Disc Insulator Scrap - 26687, </v>
      </c>
      <c r="H752" s="285"/>
      <c r="I752" s="98" t="str">
        <f ca="1">IF(J751&gt;=3,(MID(I751,2,1)&amp;MID(I751,4,3)-K751),CELL("address",Z752))</f>
        <v>G753</v>
      </c>
      <c r="J752" s="98" t="str">
        <f ca="1">IF(J751&gt;=4,(MID(I752,1,1)&amp;MID(I752,2,3)+1),CELL("address",AA752))</f>
        <v>$AA$752</v>
      </c>
      <c r="K752" s="98" t="str">
        <f ca="1">IF(J751&gt;=5,(MID(J752,1,1)&amp;MID(J752,2,3)+1),CELL("address",AB752))</f>
        <v>$AB$752</v>
      </c>
      <c r="L752" s="98" t="str">
        <f ca="1">IF(J751&gt;=6,(MID(K752,1,1)&amp;MID(K752,2,3)+1),CELL("address",AC752))</f>
        <v>$AC$752</v>
      </c>
      <c r="M752" s="98" t="str">
        <f ca="1">IF(J751&gt;=7,(MID(L752,1,1)&amp;MID(L752,2,3)+1),CELL("address",AD752))</f>
        <v>$AD$752</v>
      </c>
      <c r="N752" s="98" t="str">
        <f ca="1">IF(J751&gt;=8,(MID(M752,1,1)&amp;MID(M752,2,3)+1),CELL("address",AE752))</f>
        <v>$AE$752</v>
      </c>
      <c r="O752" s="98" t="str">
        <f ca="1">IF(J751&gt;=9,(MID(N752,1,1)&amp;MID(N752,2,3)+1),CELL("address",AF752))</f>
        <v>$AF$752</v>
      </c>
      <c r="P752" s="98" t="str">
        <f ca="1">IF(J751&gt;=10,(MID(O752,1,1)&amp;MID(O752,2,3)+1),CELL("address",AG752))</f>
        <v>$AG$752</v>
      </c>
      <c r="Q752" s="98" t="str">
        <f ca="1">IF(J751&gt;=11,(MID(P752,1,1)&amp;MID(P752,2,3)+1),CELL("address",AH752))</f>
        <v>$AH$752</v>
      </c>
      <c r="R752" s="98" t="str">
        <f ca="1">IF(J751&gt;=12,(MID(Q752,1,1)&amp;MID(Q752,2,3)+1),CELL("address",AI752))</f>
        <v>$AI$752</v>
      </c>
    </row>
    <row r="753" spans="1:8" ht="15" customHeight="1">
      <c r="A753" s="39"/>
      <c r="B753" s="42"/>
      <c r="C753" s="222"/>
      <c r="D753" s="40"/>
      <c r="E753" s="167"/>
      <c r="H753" s="1"/>
    </row>
    <row r="754" spans="1:15" ht="15" customHeight="1">
      <c r="A754" s="53"/>
      <c r="B754" s="54"/>
      <c r="C754" s="54"/>
      <c r="D754" s="55"/>
      <c r="E754" s="168">
        <f>SUM(E756:E757)</f>
        <v>186.886</v>
      </c>
      <c r="F754" s="98"/>
      <c r="G754" s="98"/>
      <c r="H754" s="98"/>
      <c r="I754" s="98"/>
      <c r="J754" s="98"/>
      <c r="K754" s="98"/>
      <c r="L754" s="98"/>
      <c r="M754" s="98"/>
      <c r="N754" s="98"/>
      <c r="O754" s="98"/>
    </row>
    <row r="755" spans="1:18" ht="15" customHeight="1">
      <c r="A755" s="267" t="s">
        <v>5</v>
      </c>
      <c r="B755" s="267"/>
      <c r="C755" s="40" t="s">
        <v>17</v>
      </c>
      <c r="D755" s="222" t="s">
        <v>18</v>
      </c>
      <c r="E755" s="39" t="s">
        <v>7</v>
      </c>
      <c r="F755" s="206"/>
      <c r="G755" s="93" t="str">
        <f>CONCATENATE("Misc. Iron Scrap, Lying at ",C756,". Quantity in MT - ")</f>
        <v>Misc. Iron Scrap, Lying at S &amp; T Store Bathinda. Quantity in MT - </v>
      </c>
      <c r="H755" s="285" t="str">
        <f ca="1">CONCATENATE(G755,G756,(INDIRECT(I756)),(INDIRECT(J756)),(INDIRECT(K756)),(INDIRECT(L756)),(INDIRECT(M756)),(INDIRECT(N756)),(INDIRECT(O756)),(INDIRECT(P756)),(INDIRECT(Q756)),(INDIRECT(R756)),".")</f>
        <v>Misc. Iron Scrap, Lying at S &amp; T Store Bathinda. Quantity in MT - MS Rail scrap - 181.996, Earthwire GSL scrap - 4.89, .</v>
      </c>
      <c r="I755" s="98" t="str">
        <f aca="true" ca="1" t="array" ref="I755">CELL("address",INDEX(G755:G773,MATCH(TRUE,ISBLANK(G755:G773),0)))</f>
        <v>$G$758</v>
      </c>
      <c r="J755" s="98">
        <f aca="true" t="array" ref="J755">MATCH(TRUE,ISBLANK(G755:G773),0)</f>
        <v>4</v>
      </c>
      <c r="K755" s="98">
        <f>J755-3</f>
        <v>1</v>
      </c>
      <c r="L755" s="98"/>
      <c r="M755" s="98"/>
      <c r="N755" s="98"/>
      <c r="O755" s="98"/>
      <c r="P755" s="98"/>
      <c r="Q755" s="98"/>
      <c r="R755" s="98"/>
    </row>
    <row r="756" spans="1:18" ht="15" customHeight="1">
      <c r="A756" s="267" t="s">
        <v>51</v>
      </c>
      <c r="B756" s="267"/>
      <c r="C756" s="268" t="s">
        <v>57</v>
      </c>
      <c r="D756" s="42" t="s">
        <v>61</v>
      </c>
      <c r="E756" s="69">
        <v>181.996</v>
      </c>
      <c r="F756" s="206"/>
      <c r="G756" s="92" t="str">
        <f>CONCATENATE(D756," - ",E756,", ")</f>
        <v>MS Rail scrap - 181.996, </v>
      </c>
      <c r="H756" s="285"/>
      <c r="I756" s="98" t="str">
        <f ca="1">IF(J755&gt;=3,(MID(I755,2,1)&amp;MID(I755,4,3)-K755),CELL("address",Z756))</f>
        <v>G757</v>
      </c>
      <c r="J756" s="98" t="str">
        <f ca="1">IF(J755&gt;=4,(MID(I756,1,1)&amp;MID(I756,2,3)+1),CELL("address",AA756))</f>
        <v>G758</v>
      </c>
      <c r="K756" s="98" t="str">
        <f ca="1">IF(J755&gt;=5,(MID(J756,1,1)&amp;MID(J756,2,3)+1),CELL("address",AB756))</f>
        <v>$AB$756</v>
      </c>
      <c r="L756" s="98" t="str">
        <f ca="1">IF(J755&gt;=6,(MID(K756,1,1)&amp;MID(K756,2,3)+1),CELL("address",AC756))</f>
        <v>$AC$756</v>
      </c>
      <c r="M756" s="98" t="str">
        <f ca="1">IF(J755&gt;=7,(MID(L756,1,1)&amp;MID(L756,2,3)+1),CELL("address",AD756))</f>
        <v>$AD$756</v>
      </c>
      <c r="N756" s="98" t="str">
        <f ca="1">IF(J755&gt;=8,(MID(M756,1,1)&amp;MID(M756,2,3)+1),CELL("address",AE756))</f>
        <v>$AE$756</v>
      </c>
      <c r="O756" s="98" t="str">
        <f ca="1">IF(J755&gt;=9,(MID(N756,1,1)&amp;MID(N756,2,3)+1),CELL("address",AF756))</f>
        <v>$AF$756</v>
      </c>
      <c r="P756" s="98" t="str">
        <f ca="1">IF(J755&gt;=10,(MID(O756,1,1)&amp;MID(O756,2,3)+1),CELL("address",AG756))</f>
        <v>$AG$756</v>
      </c>
      <c r="Q756" s="98" t="str">
        <f ca="1">IF(J755&gt;=11,(MID(P756,1,1)&amp;MID(P756,2,3)+1),CELL("address",AH756))</f>
        <v>$AH$756</v>
      </c>
      <c r="R756" s="98" t="str">
        <f ca="1">IF(J755&gt;=12,(MID(Q756,1,1)&amp;MID(Q756,2,3)+1),CELL("address",AI756))</f>
        <v>$AI$756</v>
      </c>
    </row>
    <row r="757" spans="1:15" ht="15" customHeight="1">
      <c r="A757" s="267"/>
      <c r="B757" s="267"/>
      <c r="C757" s="268"/>
      <c r="D757" s="42" t="s">
        <v>142</v>
      </c>
      <c r="E757" s="69">
        <v>4.89</v>
      </c>
      <c r="F757" s="98"/>
      <c r="G757" s="92" t="str">
        <f>CONCATENATE(D757," - ",E757,", ")</f>
        <v>Earthwire GSL scrap - 4.89, </v>
      </c>
      <c r="H757" s="98"/>
      <c r="I757" s="98"/>
      <c r="J757" s="98"/>
      <c r="K757" s="98"/>
      <c r="L757" s="98"/>
      <c r="M757" s="98"/>
      <c r="N757" s="98"/>
      <c r="O757" s="98"/>
    </row>
    <row r="758" spans="1:8" ht="15" customHeight="1">
      <c r="A758" s="39"/>
      <c r="B758" s="41"/>
      <c r="C758" s="48"/>
      <c r="D758" s="41"/>
      <c r="E758" s="58"/>
      <c r="F758" s="121"/>
      <c r="H758" s="1"/>
    </row>
    <row r="759" spans="1:8" ht="15" customHeight="1">
      <c r="A759" s="53"/>
      <c r="B759" s="54"/>
      <c r="C759" s="54"/>
      <c r="D759" s="56"/>
      <c r="E759" s="57">
        <f>SUM(E761:E763)</f>
        <v>3.0149999999999997</v>
      </c>
      <c r="F759" s="207"/>
      <c r="H759" s="1"/>
    </row>
    <row r="760" spans="1:18" ht="15" customHeight="1">
      <c r="A760" s="267" t="s">
        <v>5</v>
      </c>
      <c r="B760" s="267"/>
      <c r="C760" s="40" t="s">
        <v>17</v>
      </c>
      <c r="D760" s="222" t="s">
        <v>18</v>
      </c>
      <c r="E760" s="39" t="s">
        <v>7</v>
      </c>
      <c r="F760" s="98"/>
      <c r="G760" s="93" t="str">
        <f>CONCATENATE("Misc. Iron Scrap, Lying at ",C761,". Quantity in MT - ")</f>
        <v>Misc. Iron Scrap, Lying at CS Ferozepur. Quantity in MT - </v>
      </c>
      <c r="H760" s="285" t="str">
        <f ca="1">CONCATENATE(G760,G761,(INDIRECT(I761)),(INDIRECT(J761)),(INDIRECT(K761)),(INDIRECT(L761)),(INDIRECT(M761)),(INDIRECT(N761)),(INDIRECT(O761)),(INDIRECT(P761)),(INDIRECT(Q761)),(INDIRECT(R761)),".")</f>
        <v>Misc. Iron Scrap, Lying at CS Ferozepur. Quantity in MT - MS iron scrap - 2.649, Teen Patra scrap - 0.32, G.I. Scrap - 0.046, .</v>
      </c>
      <c r="I760" s="98" t="str">
        <f aca="true" ca="1" t="array" ref="I760">CELL("address",INDEX(G760:G778,MATCH(TRUE,ISBLANK(G760:G778),0)))</f>
        <v>$G$764</v>
      </c>
      <c r="J760" s="98">
        <f aca="true" t="array" ref="J760">MATCH(TRUE,ISBLANK(G760:G778),0)</f>
        <v>5</v>
      </c>
      <c r="K760" s="98">
        <f>J760-3</f>
        <v>2</v>
      </c>
      <c r="L760" s="98"/>
      <c r="M760" s="98"/>
      <c r="N760" s="98"/>
      <c r="O760" s="98"/>
      <c r="P760" s="98"/>
      <c r="Q760" s="98"/>
      <c r="R760" s="98"/>
    </row>
    <row r="761" spans="1:18" ht="15" customHeight="1">
      <c r="A761" s="267" t="s">
        <v>65</v>
      </c>
      <c r="B761" s="267"/>
      <c r="C761" s="268" t="s">
        <v>99</v>
      </c>
      <c r="D761" s="42" t="s">
        <v>29</v>
      </c>
      <c r="E761" s="58">
        <v>2.649</v>
      </c>
      <c r="F761" s="98"/>
      <c r="G761" s="92" t="str">
        <f>CONCATENATE(D761," - ",E761,", ")</f>
        <v>MS iron scrap - 2.649, </v>
      </c>
      <c r="H761" s="285"/>
      <c r="I761" s="98" t="str">
        <f ca="1">IF(J760&gt;=3,(MID(I760,2,1)&amp;MID(I760,4,3)-K760),CELL("address",Z761))</f>
        <v>G762</v>
      </c>
      <c r="J761" s="98" t="str">
        <f ca="1">IF(J760&gt;=4,(MID(I761,1,1)&amp;MID(I761,2,3)+1),CELL("address",AA761))</f>
        <v>G763</v>
      </c>
      <c r="K761" s="98" t="str">
        <f ca="1">IF(J760&gt;=5,(MID(J761,1,1)&amp;MID(J761,2,3)+1),CELL("address",AB761))</f>
        <v>G764</v>
      </c>
      <c r="L761" s="98" t="str">
        <f ca="1">IF(J760&gt;=6,(MID(K761,1,1)&amp;MID(K761,2,3)+1),CELL("address",AC761))</f>
        <v>$AC$761</v>
      </c>
      <c r="M761" s="98" t="str">
        <f ca="1">IF(J760&gt;=7,(MID(L761,1,1)&amp;MID(L761,2,3)+1),CELL("address",AD761))</f>
        <v>$AD$761</v>
      </c>
      <c r="N761" s="98" t="str">
        <f ca="1">IF(J760&gt;=8,(MID(M761,1,1)&amp;MID(M761,2,3)+1),CELL("address",AE761))</f>
        <v>$AE$761</v>
      </c>
      <c r="O761" s="98" t="str">
        <f ca="1">IF(J760&gt;=9,(MID(N761,1,1)&amp;MID(N761,2,3)+1),CELL("address",AF761))</f>
        <v>$AF$761</v>
      </c>
      <c r="P761" s="98" t="str">
        <f ca="1">IF(J760&gt;=10,(MID(O761,1,1)&amp;MID(O761,2,3)+1),CELL("address",AG761))</f>
        <v>$AG$761</v>
      </c>
      <c r="Q761" s="98" t="str">
        <f ca="1">IF(J760&gt;=11,(MID(P761,1,1)&amp;MID(P761,2,3)+1),CELL("address",AH761))</f>
        <v>$AH$761</v>
      </c>
      <c r="R761" s="98" t="str">
        <f ca="1">IF(J760&gt;=12,(MID(Q761,1,1)&amp;MID(Q761,2,3)+1),CELL("address",AI761))</f>
        <v>$AI$761</v>
      </c>
    </row>
    <row r="762" spans="1:21" ht="15" customHeight="1">
      <c r="A762" s="267"/>
      <c r="B762" s="267"/>
      <c r="C762" s="268"/>
      <c r="D762" s="81" t="s">
        <v>64</v>
      </c>
      <c r="E762" s="58">
        <v>0.32</v>
      </c>
      <c r="F762" s="98"/>
      <c r="G762" s="92" t="str">
        <f>CONCATENATE(D762," - ",E762,", ")</f>
        <v>Teen Patra scrap - 0.32, </v>
      </c>
      <c r="H762" s="98"/>
      <c r="I762" s="98"/>
      <c r="J762" s="98"/>
      <c r="K762" s="98"/>
      <c r="L762" s="98"/>
      <c r="M762" s="98"/>
      <c r="N762" s="98"/>
      <c r="O762" s="98"/>
      <c r="Q762" s="302"/>
      <c r="R762" s="302"/>
      <c r="S762" s="302"/>
      <c r="T762" s="302"/>
      <c r="U762" s="302"/>
    </row>
    <row r="763" spans="1:21" ht="15" customHeight="1">
      <c r="A763" s="267"/>
      <c r="B763" s="267"/>
      <c r="C763" s="268"/>
      <c r="D763" s="81" t="s">
        <v>198</v>
      </c>
      <c r="E763" s="58">
        <v>0.046</v>
      </c>
      <c r="G763" s="92" t="str">
        <f>CONCATENATE(D763," - ",E763,", ")</f>
        <v>G.I. Scrap - 0.046, </v>
      </c>
      <c r="H763" s="1"/>
      <c r="Q763" s="303"/>
      <c r="R763" s="303"/>
      <c r="S763" s="303"/>
      <c r="T763" s="303"/>
      <c r="U763" s="303"/>
    </row>
    <row r="764" spans="1:8" ht="15" customHeight="1">
      <c r="A764" s="39"/>
      <c r="B764" s="41"/>
      <c r="C764" s="48"/>
      <c r="D764" s="38"/>
      <c r="E764" s="185"/>
      <c r="H764" s="1"/>
    </row>
    <row r="765" spans="1:15" ht="15" customHeight="1">
      <c r="A765" s="271"/>
      <c r="B765" s="272"/>
      <c r="C765" s="40"/>
      <c r="D765" s="56"/>
      <c r="E765" s="57">
        <f>SUM(E767:E768)</f>
        <v>2.452</v>
      </c>
      <c r="F765" s="98"/>
      <c r="G765" s="98"/>
      <c r="H765" s="98"/>
      <c r="I765" s="98"/>
      <c r="J765" s="98"/>
      <c r="K765" s="98"/>
      <c r="L765" s="98"/>
      <c r="M765" s="98"/>
      <c r="N765" s="98"/>
      <c r="O765" s="98"/>
    </row>
    <row r="766" spans="1:18" ht="15" customHeight="1">
      <c r="A766" s="267" t="s">
        <v>5</v>
      </c>
      <c r="B766" s="267"/>
      <c r="C766" s="40" t="s">
        <v>17</v>
      </c>
      <c r="D766" s="222" t="s">
        <v>18</v>
      </c>
      <c r="E766" s="39" t="s">
        <v>7</v>
      </c>
      <c r="F766" s="98"/>
      <c r="G766" s="93" t="str">
        <f>CONCATENATE("Misc. Iron Scrap, Lying at ",C767,". Quantity in MT - ")</f>
        <v>Misc. Iron Scrap, Lying at OL Fazilka. Quantity in MT - </v>
      </c>
      <c r="H766" s="285" t="str">
        <f ca="1">CONCATENATE(G766,G767,(INDIRECT(I767)),(INDIRECT(J767)),(INDIRECT(K767)),(INDIRECT(L767)),(INDIRECT(M767)),(INDIRECT(N767)),(INDIRECT(O767)),(INDIRECT(P767)),(INDIRECT(Q767)),(INDIRECT(R767)),".")</f>
        <v>Misc. Iron Scrap, Lying at OL Fazilka. Quantity in MT - MS iron scrap - 2.282, Teen Patra scrap - 0.17, .</v>
      </c>
      <c r="I766" s="98" t="str">
        <f aca="true" ca="1" t="array" ref="I766">CELL("address",INDEX(G766:G784,MATCH(TRUE,ISBLANK(G766:G784),0)))</f>
        <v>$G$769</v>
      </c>
      <c r="J766" s="98">
        <f aca="true" t="array" ref="J766">MATCH(TRUE,ISBLANK(G766:G784),0)</f>
        <v>4</v>
      </c>
      <c r="K766" s="98">
        <f>J766-3</f>
        <v>1</v>
      </c>
      <c r="L766" s="98"/>
      <c r="M766" s="98"/>
      <c r="N766" s="98"/>
      <c r="O766" s="98"/>
      <c r="P766" s="98"/>
      <c r="Q766" s="98"/>
      <c r="R766" s="98"/>
    </row>
    <row r="767" spans="1:18" ht="15" customHeight="1">
      <c r="A767" s="279" t="s">
        <v>66</v>
      </c>
      <c r="B767" s="280"/>
      <c r="C767" s="277" t="s">
        <v>112</v>
      </c>
      <c r="D767" s="42" t="s">
        <v>29</v>
      </c>
      <c r="E767" s="58">
        <v>2.282</v>
      </c>
      <c r="G767" s="92" t="str">
        <f>CONCATENATE(D767," - ",E767,", ")</f>
        <v>MS iron scrap - 2.282, </v>
      </c>
      <c r="H767" s="285"/>
      <c r="I767" s="98" t="str">
        <f ca="1">IF(J766&gt;=3,(MID(I766,2,1)&amp;MID(I766,4,3)-K766),CELL("address",Z767))</f>
        <v>G768</v>
      </c>
      <c r="J767" s="98" t="str">
        <f ca="1">IF(J766&gt;=4,(MID(I767,1,1)&amp;MID(I767,2,3)+1),CELL("address",AA767))</f>
        <v>G769</v>
      </c>
      <c r="K767" s="98" t="str">
        <f ca="1">IF(J766&gt;=5,(MID(J767,1,1)&amp;MID(J767,2,3)+1),CELL("address",AB767))</f>
        <v>$AB$767</v>
      </c>
      <c r="L767" s="98" t="str">
        <f ca="1">IF(J766&gt;=6,(MID(K767,1,1)&amp;MID(K767,2,3)+1),CELL("address",AC767))</f>
        <v>$AC$767</v>
      </c>
      <c r="M767" s="98" t="str">
        <f ca="1">IF(J766&gt;=7,(MID(L767,1,1)&amp;MID(L767,2,3)+1),CELL("address",AD767))</f>
        <v>$AD$767</v>
      </c>
      <c r="N767" s="98" t="str">
        <f ca="1">IF(J766&gt;=8,(MID(M767,1,1)&amp;MID(M767,2,3)+1),CELL("address",AE767))</f>
        <v>$AE$767</v>
      </c>
      <c r="O767" s="98" t="str">
        <f ca="1">IF(J766&gt;=9,(MID(N767,1,1)&amp;MID(N767,2,3)+1),CELL("address",AF767))</f>
        <v>$AF$767</v>
      </c>
      <c r="P767" s="98" t="str">
        <f ca="1">IF(J766&gt;=10,(MID(O767,1,1)&amp;MID(O767,2,3)+1),CELL("address",AG767))</f>
        <v>$AG$767</v>
      </c>
      <c r="Q767" s="98" t="str">
        <f ca="1">IF(J766&gt;=11,(MID(P767,1,1)&amp;MID(P767,2,3)+1),CELL("address",AH767))</f>
        <v>$AH$767</v>
      </c>
      <c r="R767" s="98" t="str">
        <f ca="1">IF(J766&gt;=12,(MID(Q767,1,1)&amp;MID(Q767,2,3)+1),CELL("address",AI767))</f>
        <v>$AI$767</v>
      </c>
    </row>
    <row r="768" spans="1:8" ht="15" customHeight="1">
      <c r="A768" s="294"/>
      <c r="B768" s="295"/>
      <c r="C768" s="293"/>
      <c r="D768" s="81" t="s">
        <v>64</v>
      </c>
      <c r="E768" s="58">
        <v>0.17</v>
      </c>
      <c r="G768" s="92" t="str">
        <f>CONCATENATE(D768," - ",E768,", ")</f>
        <v>Teen Patra scrap - 0.17, </v>
      </c>
      <c r="H768" s="1"/>
    </row>
    <row r="769" spans="1:15" ht="15" customHeight="1">
      <c r="A769" s="269"/>
      <c r="B769" s="270"/>
      <c r="C769" s="222"/>
      <c r="D769" s="40"/>
      <c r="E769" s="58"/>
      <c r="F769" s="98"/>
      <c r="G769" s="98"/>
      <c r="H769" s="98"/>
      <c r="I769" s="98"/>
      <c r="J769" s="98"/>
      <c r="K769" s="98"/>
      <c r="L769" s="98"/>
      <c r="M769" s="98"/>
      <c r="N769" s="98"/>
      <c r="O769" s="98"/>
    </row>
    <row r="770" spans="1:15" ht="15" customHeight="1">
      <c r="A770" s="271"/>
      <c r="B770" s="272"/>
      <c r="C770" s="40"/>
      <c r="D770" s="56"/>
      <c r="E770" s="168">
        <f>SUM(E772:E772)</f>
        <v>100</v>
      </c>
      <c r="F770" s="98"/>
      <c r="G770" s="98"/>
      <c r="H770" s="98"/>
      <c r="I770" s="98" t="str">
        <f ca="1">IF(G769&gt;=6,(MID(H770,1,1)&amp;MID(H770,2,3)+1),CELL("address",Z770))</f>
        <v>$Z$770</v>
      </c>
      <c r="J770" s="98" t="str">
        <f ca="1">IF(G769&gt;=7,(MID(I770,1,1)&amp;MID(I770,2,3)+1),CELL("address",AA770))</f>
        <v>$AA$770</v>
      </c>
      <c r="K770" s="98" t="str">
        <f ca="1">IF(G769&gt;=8,(MID(J770,1,1)&amp;MID(J770,2,3)+1),CELL("address",AB770))</f>
        <v>$AB$770</v>
      </c>
      <c r="L770" s="98" t="str">
        <f ca="1">IF(G769&gt;=9,(MID(K770,1,1)&amp;MID(K770,2,3)+1),CELL("address",AC770))</f>
        <v>$AC$770</v>
      </c>
      <c r="M770" s="98" t="str">
        <f ca="1">IF(G769&gt;=10,(MID(L770,1,1)&amp;MID(L770,2,3)+1),CELL("address",AD770))</f>
        <v>$AD$770</v>
      </c>
      <c r="N770" s="98" t="str">
        <f ca="1">IF(G769&gt;=11,(MID(M770,1,1)&amp;MID(M770,2,3)+1),CELL("address",AE770))</f>
        <v>$AE$770</v>
      </c>
      <c r="O770" s="98" t="str">
        <f ca="1">IF(G769&gt;=12,(MID(N770,1,1)&amp;MID(N770,2,3)+1),CELL("address",AF770))</f>
        <v>$AF$770</v>
      </c>
    </row>
    <row r="771" spans="1:18" ht="15" customHeight="1">
      <c r="A771" s="267" t="s">
        <v>5</v>
      </c>
      <c r="B771" s="267"/>
      <c r="C771" s="40" t="s">
        <v>17</v>
      </c>
      <c r="D771" s="222" t="s">
        <v>18</v>
      </c>
      <c r="E771" s="39" t="s">
        <v>7</v>
      </c>
      <c r="G771" s="93" t="str">
        <f>CONCATENATE("Misc. Iron Scrap, Lying at ",C772,". Quantity in MT - ")</f>
        <v>Misc. Iron Scrap, Lying at S &amp; T Store Bathinda. Quantity in MT - </v>
      </c>
      <c r="H771" s="285" t="str">
        <f ca="1">CONCATENATE(G771,G772,(INDIRECT(I772)),(INDIRECT(J772)),(INDIRECT(K772)),(INDIRECT(L772)),(INDIRECT(M772)),(INDIRECT(N772)),(INDIRECT(O772)),(INDIRECT(P772)),(INDIRECT(Q772)),(INDIRECT(R772)),".")</f>
        <v>Misc. Iron Scrap, Lying at S &amp; T Store Bathinda. Quantity in MT - MS Rail scrap - 100, .</v>
      </c>
      <c r="I771" s="98" t="str">
        <f aca="true" ca="1" t="array" ref="I771">CELL("address",INDEX(G771:G790,MATCH(TRUE,ISBLANK(G771:G790),0)))</f>
        <v>$G$773</v>
      </c>
      <c r="J771" s="98">
        <f aca="true" t="array" ref="J771">MATCH(TRUE,ISBLANK(G771:G790),0)</f>
        <v>3</v>
      </c>
      <c r="K771" s="98">
        <f>J771-3</f>
        <v>0</v>
      </c>
      <c r="L771" s="98"/>
      <c r="M771" s="98"/>
      <c r="N771" s="98"/>
      <c r="O771" s="98"/>
      <c r="P771" s="98"/>
      <c r="Q771" s="98"/>
      <c r="R771" s="98"/>
    </row>
    <row r="772" spans="1:18" ht="15" customHeight="1">
      <c r="A772" s="267" t="s">
        <v>67</v>
      </c>
      <c r="B772" s="267"/>
      <c r="C772" s="222" t="s">
        <v>57</v>
      </c>
      <c r="D772" s="40" t="s">
        <v>61</v>
      </c>
      <c r="E772" s="69">
        <v>100</v>
      </c>
      <c r="G772" s="92" t="str">
        <f>CONCATENATE(D772," - ",E772,", ")</f>
        <v>MS Rail scrap - 100, </v>
      </c>
      <c r="H772" s="285"/>
      <c r="I772" s="98" t="str">
        <f ca="1">IF(J771&gt;=3,(MID(I771,2,1)&amp;MID(I771,4,3)-K771),CELL("address",Z772))</f>
        <v>G773</v>
      </c>
      <c r="J772" s="98" t="str">
        <f ca="1">IF(J771&gt;=4,(MID(I772,1,1)&amp;MID(I772,2,3)+1),CELL("address",AA772))</f>
        <v>$AA$772</v>
      </c>
      <c r="K772" s="98" t="str">
        <f ca="1">IF(J771&gt;=5,(MID(J772,1,1)&amp;MID(J772,2,3)+1),CELL("address",AB772))</f>
        <v>$AB$772</v>
      </c>
      <c r="L772" s="98" t="str">
        <f ca="1">IF(J771&gt;=6,(MID(K772,1,1)&amp;MID(K772,2,3)+1),CELL("address",AC772))</f>
        <v>$AC$772</v>
      </c>
      <c r="M772" s="98" t="str">
        <f ca="1">IF(J771&gt;=7,(MID(L772,1,1)&amp;MID(L772,2,3)+1),CELL("address",AD772))</f>
        <v>$AD$772</v>
      </c>
      <c r="N772" s="98" t="str">
        <f ca="1">IF(J771&gt;=8,(MID(M772,1,1)&amp;MID(M772,2,3)+1),CELL("address",AE772))</f>
        <v>$AE$772</v>
      </c>
      <c r="O772" s="98" t="str">
        <f ca="1">IF(J771&gt;=9,(MID(N772,1,1)&amp;MID(N772,2,3)+1),CELL("address",AF772))</f>
        <v>$AF$772</v>
      </c>
      <c r="P772" s="98" t="str">
        <f ca="1">IF(J771&gt;=10,(MID(O772,1,1)&amp;MID(O772,2,3)+1),CELL("address",AG772))</f>
        <v>$AG$772</v>
      </c>
      <c r="Q772" s="98" t="str">
        <f ca="1">IF(J771&gt;=11,(MID(P772,1,1)&amp;MID(P772,2,3)+1),CELL("address",AH772))</f>
        <v>$AH$772</v>
      </c>
      <c r="R772" s="98" t="str">
        <f ca="1">IF(J771&gt;=12,(MID(Q772,1,1)&amp;MID(Q772,2,3)+1),CELL("address",AI772))</f>
        <v>$AI$772</v>
      </c>
    </row>
    <row r="773" spans="1:8" ht="15" customHeight="1">
      <c r="A773" s="39"/>
      <c r="B773" s="41"/>
      <c r="C773" s="48"/>
      <c r="D773" s="41"/>
      <c r="E773" s="58"/>
      <c r="H773" s="1"/>
    </row>
    <row r="774" spans="1:8" ht="15" customHeight="1">
      <c r="A774" s="53"/>
      <c r="B774" s="54"/>
      <c r="C774" s="54"/>
      <c r="D774" s="56"/>
      <c r="E774" s="57">
        <f>SUM(E776:E781)</f>
        <v>9.852</v>
      </c>
      <c r="H774" s="1"/>
    </row>
    <row r="775" spans="1:18" ht="15" customHeight="1">
      <c r="A775" s="267" t="s">
        <v>5</v>
      </c>
      <c r="B775" s="267"/>
      <c r="C775" s="40" t="s">
        <v>17</v>
      </c>
      <c r="D775" s="222" t="s">
        <v>18</v>
      </c>
      <c r="E775" s="39" t="s">
        <v>7</v>
      </c>
      <c r="G775" s="93" t="str">
        <f>CONCATENATE("Misc. Iron Scrap, Lying at ",C776,". Quantity in MT - ")</f>
        <v>Misc. Iron Scrap, Lying at CS Kotkapura. Quantity in MT - </v>
      </c>
      <c r="H775" s="285" t="str">
        <f ca="1">CONCATENATE(G775,G776,(INDIRECT(I776)),(INDIRECT(J776)),(INDIRECT(K776)),(INDIRECT(L776)),(INDIRECT(M776)),(INDIRECT(N776)),(INDIRECT(O776)),(INDIRECT(P776)),(INDIRECT(Q776)),(INDIRECT(R776)),".")</f>
        <v>Misc. Iron Scrap, Lying at CS Kotkapura. Quantity in MT - MS iron scrap - 4.418, Transformer body scrap - 3.835, Teen Patra scrap - 1.149, G.I. Scrap - 0.105, M.S. Nuts &amp; Bolts Scrap - 0.02, Tubular Poles scrap - 0.325, .</v>
      </c>
      <c r="I775" s="98" t="str">
        <f aca="true" ca="1" t="array" ref="I775">CELL("address",INDEX(G775:G794,MATCH(TRUE,ISBLANK(G775:G794),0)))</f>
        <v>$G$782</v>
      </c>
      <c r="J775" s="98">
        <f aca="true" t="array" ref="J775">MATCH(TRUE,ISBLANK(G775:G794),0)</f>
        <v>8</v>
      </c>
      <c r="K775" s="98">
        <f>J775-3</f>
        <v>5</v>
      </c>
      <c r="L775" s="98"/>
      <c r="M775" s="98"/>
      <c r="N775" s="98"/>
      <c r="O775" s="98"/>
      <c r="P775" s="98"/>
      <c r="Q775" s="98"/>
      <c r="R775" s="98"/>
    </row>
    <row r="776" spans="1:18" ht="15" customHeight="1">
      <c r="A776" s="267" t="s">
        <v>68</v>
      </c>
      <c r="B776" s="267"/>
      <c r="C776" s="268" t="s">
        <v>43</v>
      </c>
      <c r="D776" s="42" t="s">
        <v>29</v>
      </c>
      <c r="E776" s="58">
        <v>4.418</v>
      </c>
      <c r="G776" s="92" t="str">
        <f aca="true" t="shared" si="3" ref="G776:G781">CONCATENATE(D776," - ",E776,", ")</f>
        <v>MS iron scrap - 4.418, </v>
      </c>
      <c r="H776" s="285"/>
      <c r="I776" s="98" t="str">
        <f ca="1">IF(J775&gt;=3,(MID(I775,2,1)&amp;MID(I775,4,3)-K775),CELL("address",Z776))</f>
        <v>G777</v>
      </c>
      <c r="J776" s="98" t="str">
        <f ca="1">IF(J775&gt;=4,(MID(I776,1,1)&amp;MID(I776,2,3)+1),CELL("address",AA776))</f>
        <v>G778</v>
      </c>
      <c r="K776" s="98" t="str">
        <f ca="1">IF(J775&gt;=5,(MID(J776,1,1)&amp;MID(J776,2,3)+1),CELL("address",AB776))</f>
        <v>G779</v>
      </c>
      <c r="L776" s="98" t="str">
        <f ca="1">IF(J775&gt;=6,(MID(K776,1,1)&amp;MID(K776,2,3)+1),CELL("address",AC776))</f>
        <v>G780</v>
      </c>
      <c r="M776" s="98" t="str">
        <f ca="1">IF(J775&gt;=7,(MID(L776,1,1)&amp;MID(L776,2,3)+1),CELL("address",AD776))</f>
        <v>G781</v>
      </c>
      <c r="N776" s="98" t="str">
        <f ca="1">IF(J775&gt;=8,(MID(M776,1,1)&amp;MID(M776,2,3)+1),CELL("address",AE776))</f>
        <v>G782</v>
      </c>
      <c r="O776" s="98" t="str">
        <f ca="1">IF(J775&gt;=9,(MID(N776,1,1)&amp;MID(N776,2,3)+1),CELL("address",AF776))</f>
        <v>$AF$776</v>
      </c>
      <c r="P776" s="98" t="str">
        <f ca="1">IF(J775&gt;=10,(MID(O776,1,1)&amp;MID(O776,2,3)+1),CELL("address",AG776))</f>
        <v>$AG$776</v>
      </c>
      <c r="Q776" s="98" t="str">
        <f ca="1">IF(J775&gt;=11,(MID(P776,1,1)&amp;MID(P776,2,3)+1),CELL("address",AH776))</f>
        <v>$AH$776</v>
      </c>
      <c r="R776" s="98" t="str">
        <f ca="1">IF(J775&gt;=12,(MID(Q776,1,1)&amp;MID(Q776,2,3)+1),CELL("address",AI776))</f>
        <v>$AI$776</v>
      </c>
    </row>
    <row r="777" spans="1:8" ht="15" customHeight="1">
      <c r="A777" s="267"/>
      <c r="B777" s="267"/>
      <c r="C777" s="268"/>
      <c r="D777" s="81" t="s">
        <v>60</v>
      </c>
      <c r="E777" s="58">
        <v>3.835</v>
      </c>
      <c r="G777" s="92" t="str">
        <f t="shared" si="3"/>
        <v>Transformer body scrap - 3.835, </v>
      </c>
      <c r="H777" s="1"/>
    </row>
    <row r="778" spans="1:15" ht="15" customHeight="1">
      <c r="A778" s="267"/>
      <c r="B778" s="267"/>
      <c r="C778" s="268"/>
      <c r="D778" s="81" t="s">
        <v>64</v>
      </c>
      <c r="E778" s="58">
        <v>1.149</v>
      </c>
      <c r="F778" s="98"/>
      <c r="G778" s="92" t="str">
        <f t="shared" si="3"/>
        <v>Teen Patra scrap - 1.149, </v>
      </c>
      <c r="H778" s="98"/>
      <c r="I778" s="98"/>
      <c r="J778" s="98"/>
      <c r="K778" s="98"/>
      <c r="L778" s="98"/>
      <c r="M778" s="98"/>
      <c r="N778" s="98"/>
      <c r="O778" s="98"/>
    </row>
    <row r="779" spans="1:15" ht="15" customHeight="1">
      <c r="A779" s="267"/>
      <c r="B779" s="267"/>
      <c r="C779" s="268"/>
      <c r="D779" s="81" t="s">
        <v>198</v>
      </c>
      <c r="E779" s="58">
        <v>0.105</v>
      </c>
      <c r="F779" s="98"/>
      <c r="G779" s="92" t="str">
        <f t="shared" si="3"/>
        <v>G.I. Scrap - 0.105, </v>
      </c>
      <c r="H779" s="98"/>
      <c r="I779" s="98" t="e">
        <f ca="1">IF(G778&gt;=6,(MID(H779,1,1)&amp;MID(H779,2,3)+1),CELL("address",Z779))</f>
        <v>#VALUE!</v>
      </c>
      <c r="J779" s="98" t="e">
        <f ca="1">IF(G778&gt;=7,(MID(I779,1,1)&amp;MID(I779,2,3)+1),CELL("address",AA779))</f>
        <v>#VALUE!</v>
      </c>
      <c r="K779" s="98" t="e">
        <f ca="1">IF(G778&gt;=8,(MID(J779,1,1)&amp;MID(J779,2,3)+1),CELL("address",AB779))</f>
        <v>#VALUE!</v>
      </c>
      <c r="L779" s="98" t="e">
        <f ca="1">IF(G778&gt;=9,(MID(K779,1,1)&amp;MID(K779,2,3)+1),CELL("address",AC779))</f>
        <v>#VALUE!</v>
      </c>
      <c r="M779" s="98" t="e">
        <f ca="1">IF(G778&gt;=10,(MID(L779,1,1)&amp;MID(L779,2,3)+1),CELL("address",AD779))</f>
        <v>#VALUE!</v>
      </c>
      <c r="N779" s="98" t="e">
        <f ca="1">IF(G778&gt;=11,(MID(M779,1,1)&amp;MID(M779,2,3)+1),CELL("address",AE779))</f>
        <v>#VALUE!</v>
      </c>
      <c r="O779" s="98" t="e">
        <f ca="1">IF(G778&gt;=12,(MID(N779,1,1)&amp;MID(N779,2,3)+1),CELL("address",AF779))</f>
        <v>#VALUE!</v>
      </c>
    </row>
    <row r="780" spans="1:8" ht="15" customHeight="1">
      <c r="A780" s="267"/>
      <c r="B780" s="267"/>
      <c r="C780" s="268"/>
      <c r="D780" s="81" t="s">
        <v>199</v>
      </c>
      <c r="E780" s="58">
        <v>0.02</v>
      </c>
      <c r="G780" s="92" t="str">
        <f t="shared" si="3"/>
        <v>M.S. Nuts &amp; Bolts Scrap - 0.02, </v>
      </c>
      <c r="H780" s="1"/>
    </row>
    <row r="781" spans="1:8" ht="15" customHeight="1">
      <c r="A781" s="267"/>
      <c r="B781" s="267"/>
      <c r="C781" s="268"/>
      <c r="D781" s="42" t="s">
        <v>454</v>
      </c>
      <c r="E781" s="58">
        <v>0.325</v>
      </c>
      <c r="G781" s="92" t="str">
        <f t="shared" si="3"/>
        <v>Tubular Poles scrap - 0.325, </v>
      </c>
      <c r="H781" s="1"/>
    </row>
    <row r="782" spans="1:8" ht="15" customHeight="1">
      <c r="A782" s="39"/>
      <c r="B782" s="41"/>
      <c r="C782" s="48"/>
      <c r="D782" s="234"/>
      <c r="E782" s="185"/>
      <c r="H782" s="1"/>
    </row>
    <row r="783" spans="1:15" ht="15" customHeight="1">
      <c r="A783" s="53"/>
      <c r="B783" s="54"/>
      <c r="C783" s="54"/>
      <c r="D783" s="56"/>
      <c r="E783" s="57">
        <f>SUM(E785:E787)</f>
        <v>6.174</v>
      </c>
      <c r="F783" s="98"/>
      <c r="G783" s="98"/>
      <c r="H783" s="98"/>
      <c r="I783" s="98"/>
      <c r="J783" s="98"/>
      <c r="K783" s="98"/>
      <c r="L783" s="98"/>
      <c r="M783" s="98"/>
      <c r="N783" s="98"/>
      <c r="O783" s="98"/>
    </row>
    <row r="784" spans="1:18" ht="15" customHeight="1">
      <c r="A784" s="288" t="s">
        <v>5</v>
      </c>
      <c r="B784" s="288"/>
      <c r="C784" s="70" t="s">
        <v>17</v>
      </c>
      <c r="D784" s="222" t="s">
        <v>18</v>
      </c>
      <c r="E784" s="39" t="s">
        <v>7</v>
      </c>
      <c r="F784" s="98"/>
      <c r="G784" s="93" t="str">
        <f>CONCATENATE("Misc. Iron Scrap, Lying at ",C785,". Quantity in MT - ")</f>
        <v>Misc. Iron Scrap, Lying at OL Bhagta Bhai Ka. Quantity in MT - </v>
      </c>
      <c r="H784" s="285" t="str">
        <f ca="1">CONCATENATE(G784,G785,(INDIRECT(I785)),(INDIRECT(J785)),(INDIRECT(K785)),(INDIRECT(L785)),(INDIRECT(M785)),(INDIRECT(N785)),(INDIRECT(O785)),(INDIRECT(P785)),(INDIRECT(Q785)),(INDIRECT(R785)),".")</f>
        <v>Misc. Iron Scrap, Lying at OL Bhagta Bhai Ka. Quantity in MT - MS iron scrap - 0.884, Transformer body scrap - 5.258, Teen Patra scrap - 0.032, .</v>
      </c>
      <c r="I784" s="98" t="str">
        <f aca="true" ca="1" t="array" ref="I784">CELL("address",INDEX(G784:G803,MATCH(TRUE,ISBLANK(G784:G803),0)))</f>
        <v>$G$788</v>
      </c>
      <c r="J784" s="98">
        <f aca="true" t="array" ref="J784">MATCH(TRUE,ISBLANK(G784:G803),0)</f>
        <v>5</v>
      </c>
      <c r="K784" s="98">
        <f>J784-3</f>
        <v>2</v>
      </c>
      <c r="L784" s="98"/>
      <c r="M784" s="98"/>
      <c r="N784" s="98"/>
      <c r="O784" s="98"/>
      <c r="P784" s="98"/>
      <c r="Q784" s="98"/>
      <c r="R784" s="98"/>
    </row>
    <row r="785" spans="1:18" ht="15" customHeight="1">
      <c r="A785" s="267" t="s">
        <v>175</v>
      </c>
      <c r="B785" s="267"/>
      <c r="C785" s="268" t="s">
        <v>100</v>
      </c>
      <c r="D785" s="42" t="s">
        <v>29</v>
      </c>
      <c r="E785" s="69">
        <v>0.884</v>
      </c>
      <c r="G785" s="92" t="str">
        <f>CONCATENATE(D785," - ",E785,", ")</f>
        <v>MS iron scrap - 0.884, </v>
      </c>
      <c r="H785" s="285"/>
      <c r="I785" s="98" t="str">
        <f ca="1">IF(J784&gt;=3,(MID(I784,2,1)&amp;MID(I784,4,3)-K784),CELL("address",Z785))</f>
        <v>G786</v>
      </c>
      <c r="J785" s="98" t="str">
        <f ca="1">IF(J784&gt;=4,(MID(I785,1,1)&amp;MID(I785,2,3)+1),CELL("address",AA785))</f>
        <v>G787</v>
      </c>
      <c r="K785" s="98" t="str">
        <f ca="1">IF(J784&gt;=5,(MID(J785,1,1)&amp;MID(J785,2,3)+1),CELL("address",AB785))</f>
        <v>G788</v>
      </c>
      <c r="L785" s="98" t="str">
        <f ca="1">IF(J784&gt;=6,(MID(K785,1,1)&amp;MID(K785,2,3)+1),CELL("address",AC785))</f>
        <v>$AC$785</v>
      </c>
      <c r="M785" s="98" t="str">
        <f ca="1">IF(J784&gt;=7,(MID(L785,1,1)&amp;MID(L785,2,3)+1),CELL("address",AD785))</f>
        <v>$AD$785</v>
      </c>
      <c r="N785" s="98" t="str">
        <f ca="1">IF(J784&gt;=8,(MID(M785,1,1)&amp;MID(M785,2,3)+1),CELL("address",AE785))</f>
        <v>$AE$785</v>
      </c>
      <c r="O785" s="98" t="str">
        <f ca="1">IF(J784&gt;=9,(MID(N785,1,1)&amp;MID(N785,2,3)+1),CELL("address",AF785))</f>
        <v>$AF$785</v>
      </c>
      <c r="P785" s="98" t="str">
        <f ca="1">IF(J784&gt;=10,(MID(O785,1,1)&amp;MID(O785,2,3)+1),CELL("address",AG785))</f>
        <v>$AG$785</v>
      </c>
      <c r="Q785" s="98" t="str">
        <f ca="1">IF(J784&gt;=11,(MID(P785,1,1)&amp;MID(P785,2,3)+1),CELL("address",AH785))</f>
        <v>$AH$785</v>
      </c>
      <c r="R785" s="98" t="str">
        <f ca="1">IF(J784&gt;=12,(MID(Q785,1,1)&amp;MID(Q785,2,3)+1),CELL("address",AI785))</f>
        <v>$AI$785</v>
      </c>
    </row>
    <row r="786" spans="1:8" ht="15" customHeight="1">
      <c r="A786" s="267"/>
      <c r="B786" s="267"/>
      <c r="C786" s="268"/>
      <c r="D786" s="81" t="s">
        <v>60</v>
      </c>
      <c r="E786" s="69">
        <v>5.258</v>
      </c>
      <c r="G786" s="92" t="str">
        <f>CONCATENATE(D786," - ",E786,", ")</f>
        <v>Transformer body scrap - 5.258, </v>
      </c>
      <c r="H786" s="1"/>
    </row>
    <row r="787" spans="1:8" ht="15" customHeight="1">
      <c r="A787" s="267"/>
      <c r="B787" s="267"/>
      <c r="C787" s="268"/>
      <c r="D787" s="81" t="s">
        <v>64</v>
      </c>
      <c r="E787" s="58">
        <v>0.032</v>
      </c>
      <c r="G787" s="92" t="str">
        <f>CONCATENATE(D787," - ",E787,", ")</f>
        <v>Teen Patra scrap - 0.032, </v>
      </c>
      <c r="H787" s="1"/>
    </row>
    <row r="788" spans="1:8" ht="15" customHeight="1">
      <c r="A788" s="39"/>
      <c r="B788" s="41"/>
      <c r="C788" s="48"/>
      <c r="D788" s="234"/>
      <c r="E788" s="185"/>
      <c r="H788" s="1"/>
    </row>
    <row r="789" spans="1:8" ht="15" customHeight="1">
      <c r="A789" s="53"/>
      <c r="B789" s="54"/>
      <c r="C789" s="54"/>
      <c r="D789" s="56"/>
      <c r="E789" s="57">
        <f>SUM(E791:E793)</f>
        <v>3.256</v>
      </c>
      <c r="H789" s="1"/>
    </row>
    <row r="790" spans="1:18" ht="15" customHeight="1">
      <c r="A790" s="288" t="s">
        <v>5</v>
      </c>
      <c r="B790" s="288"/>
      <c r="C790" s="70" t="s">
        <v>17</v>
      </c>
      <c r="D790" s="222" t="s">
        <v>18</v>
      </c>
      <c r="E790" s="39" t="s">
        <v>7</v>
      </c>
      <c r="F790" s="98"/>
      <c r="G790" s="93" t="str">
        <f>CONCATENATE("Misc. Iron Scrap, Lying at ",C791,". Quantity in MT - ")</f>
        <v>Misc. Iron Scrap, Lying at OL Shri Mukfsar Sahib. Quantity in MT - </v>
      </c>
      <c r="H790" s="285" t="str">
        <f ca="1">CONCATENATE(G790,G791,(INDIRECT(I791)),(INDIRECT(J791)),(INDIRECT(K791)),(INDIRECT(L791)),(INDIRECT(M791)),(INDIRECT(N791)),(INDIRECT(O791)),(INDIRECT(P791)),(INDIRECT(Q791)),(INDIRECT(R791)),".")</f>
        <v>Misc. Iron Scrap, Lying at OL Shri Mukfsar Sahib. Quantity in MT - MS iron scrap - 0.764, Transformer body scrap - 2.302, G.I. scrap - 0.19, .</v>
      </c>
      <c r="I790" s="98" t="str">
        <f aca="true" ca="1" t="array" ref="I790">CELL("address",INDEX(G790:G807,MATCH(TRUE,ISBLANK(G790:G807),0)))</f>
        <v>$G$794</v>
      </c>
      <c r="J790" s="98">
        <f aca="true" t="array" ref="J790">MATCH(TRUE,ISBLANK(G790:G807),0)</f>
        <v>5</v>
      </c>
      <c r="K790" s="98">
        <f>J790-3</f>
        <v>2</v>
      </c>
      <c r="L790" s="98"/>
      <c r="M790" s="98"/>
      <c r="N790" s="98"/>
      <c r="O790" s="98"/>
      <c r="P790" s="98"/>
      <c r="Q790" s="98"/>
      <c r="R790" s="98"/>
    </row>
    <row r="791" spans="1:18" ht="15" customHeight="1">
      <c r="A791" s="267" t="s">
        <v>119</v>
      </c>
      <c r="B791" s="267"/>
      <c r="C791" s="268" t="s">
        <v>327</v>
      </c>
      <c r="D791" s="42" t="s">
        <v>29</v>
      </c>
      <c r="E791" s="69">
        <v>0.764</v>
      </c>
      <c r="F791" s="98"/>
      <c r="G791" s="92" t="str">
        <f>CONCATENATE(D791," - ",E791,", ")</f>
        <v>MS iron scrap - 0.764, </v>
      </c>
      <c r="H791" s="285"/>
      <c r="I791" s="98" t="str">
        <f ca="1">IF(J790&gt;=3,(MID(I790,2,1)&amp;MID(I790,4,3)-K790),CELL("address",Z791))</f>
        <v>G792</v>
      </c>
      <c r="J791" s="98" t="str">
        <f ca="1">IF(J790&gt;=4,(MID(I791,1,1)&amp;MID(I791,2,3)+1),CELL("address",AA791))</f>
        <v>G793</v>
      </c>
      <c r="K791" s="98" t="str">
        <f ca="1">IF(J790&gt;=5,(MID(J791,1,1)&amp;MID(J791,2,3)+1),CELL("address",AB791))</f>
        <v>G794</v>
      </c>
      <c r="L791" s="98" t="str">
        <f ca="1">IF(J790&gt;=6,(MID(K791,1,1)&amp;MID(K791,2,3)+1),CELL("address",AC791))</f>
        <v>$AC$791</v>
      </c>
      <c r="M791" s="98" t="str">
        <f ca="1">IF(J790&gt;=7,(MID(L791,1,1)&amp;MID(L791,2,3)+1),CELL("address",AD791))</f>
        <v>$AD$791</v>
      </c>
      <c r="N791" s="98" t="str">
        <f ca="1">IF(J790&gt;=8,(MID(M791,1,1)&amp;MID(M791,2,3)+1),CELL("address",AE791))</f>
        <v>$AE$791</v>
      </c>
      <c r="O791" s="98" t="str">
        <f ca="1">IF(J790&gt;=9,(MID(N791,1,1)&amp;MID(N791,2,3)+1),CELL("address",AF791))</f>
        <v>$AF$791</v>
      </c>
      <c r="P791" s="98" t="str">
        <f ca="1">IF(J790&gt;=10,(MID(O791,1,1)&amp;MID(O791,2,3)+1),CELL("address",AG791))</f>
        <v>$AG$791</v>
      </c>
      <c r="Q791" s="98" t="str">
        <f ca="1">IF(J790&gt;=11,(MID(P791,1,1)&amp;MID(P791,2,3)+1),CELL("address",AH791))</f>
        <v>$AH$791</v>
      </c>
      <c r="R791" s="98" t="str">
        <f ca="1">IF(J790&gt;=12,(MID(Q791,1,1)&amp;MID(Q791,2,3)+1),CELL("address",AI791))</f>
        <v>$AI$791</v>
      </c>
    </row>
    <row r="792" spans="1:15" ht="15" customHeight="1">
      <c r="A792" s="267"/>
      <c r="B792" s="267"/>
      <c r="C792" s="268"/>
      <c r="D792" s="81" t="s">
        <v>60</v>
      </c>
      <c r="E792" s="69">
        <v>2.302</v>
      </c>
      <c r="F792" s="98"/>
      <c r="G792" s="92" t="str">
        <f>CONCATENATE(D792," - ",E792,", ")</f>
        <v>Transformer body scrap - 2.302, </v>
      </c>
      <c r="H792" s="98"/>
      <c r="I792" s="98"/>
      <c r="J792" s="98"/>
      <c r="K792" s="98"/>
      <c r="L792" s="98"/>
      <c r="M792" s="98"/>
      <c r="N792" s="98"/>
      <c r="O792" s="98"/>
    </row>
    <row r="793" spans="1:15" ht="15" customHeight="1">
      <c r="A793" s="267"/>
      <c r="B793" s="267"/>
      <c r="C793" s="268"/>
      <c r="D793" s="81" t="s">
        <v>193</v>
      </c>
      <c r="E793" s="58">
        <v>0.19</v>
      </c>
      <c r="F793" s="98"/>
      <c r="G793" s="92" t="str">
        <f>CONCATENATE(D793," - ",E793,", ")</f>
        <v>G.I. scrap - 0.19, </v>
      </c>
      <c r="H793" s="98"/>
      <c r="I793" s="98"/>
      <c r="J793" s="98"/>
      <c r="K793" s="98"/>
      <c r="L793" s="98"/>
      <c r="M793" s="98"/>
      <c r="N793" s="98"/>
      <c r="O793" s="98"/>
    </row>
    <row r="794" spans="1:15" ht="15" customHeight="1">
      <c r="A794" s="39"/>
      <c r="B794" s="41"/>
      <c r="C794" s="48"/>
      <c r="D794" s="234"/>
      <c r="E794" s="185"/>
      <c r="F794" s="98"/>
      <c r="G794" s="98"/>
      <c r="H794" s="98"/>
      <c r="I794" s="98"/>
      <c r="J794" s="98"/>
      <c r="K794" s="98"/>
      <c r="L794" s="98"/>
      <c r="M794" s="98"/>
      <c r="N794" s="98"/>
      <c r="O794" s="98"/>
    </row>
    <row r="795" spans="1:15" ht="15" customHeight="1">
      <c r="A795" s="53"/>
      <c r="B795" s="54"/>
      <c r="C795" s="54"/>
      <c r="D795" s="56"/>
      <c r="E795" s="57">
        <f>SUM(E797:E798)</f>
        <v>2.957</v>
      </c>
      <c r="F795" s="98"/>
      <c r="G795" s="98"/>
      <c r="H795" s="98"/>
      <c r="I795" s="98"/>
      <c r="J795" s="98"/>
      <c r="K795" s="98"/>
      <c r="L795" s="98"/>
      <c r="M795" s="98"/>
      <c r="N795" s="98"/>
      <c r="O795" s="98"/>
    </row>
    <row r="796" spans="1:18" ht="15" customHeight="1">
      <c r="A796" s="288" t="s">
        <v>5</v>
      </c>
      <c r="B796" s="288"/>
      <c r="C796" s="70" t="s">
        <v>17</v>
      </c>
      <c r="D796" s="222" t="s">
        <v>18</v>
      </c>
      <c r="E796" s="39" t="s">
        <v>7</v>
      </c>
      <c r="F796" s="98"/>
      <c r="G796" s="93" t="str">
        <f>CONCATENATE("Misc. Iron Scrap, Lying at ",C797,". Quantity in MT - ")</f>
        <v>Misc. Iron Scrap, Lying at OL Rajpura. Quantity in MT - </v>
      </c>
      <c r="H796" s="285" t="str">
        <f ca="1">CONCATENATE(G796,G797,(INDIRECT(I797)),(INDIRECT(J797)),(INDIRECT(K797)),(INDIRECT(L797)),(INDIRECT(M797)),(INDIRECT(N797)),(INDIRECT(O797)),(INDIRECT(P797)),(INDIRECT(Q797)),(INDIRECT(R797)),".")</f>
        <v>Misc. Iron Scrap, Lying at OL Rajpura. Quantity in MT - MS iron scrap - 1.507, MS Rail scrap - 1.45, .</v>
      </c>
      <c r="I796" s="98" t="str">
        <f aca="true" ca="1" t="array" ref="I796">CELL("address",INDEX(G796:G814,MATCH(TRUE,ISBLANK(G796:G814),0)))</f>
        <v>$G$799</v>
      </c>
      <c r="J796" s="98">
        <f aca="true" t="array" ref="J796">MATCH(TRUE,ISBLANK(G796:G814),0)</f>
        <v>4</v>
      </c>
      <c r="K796" s="98">
        <f>J796-3</f>
        <v>1</v>
      </c>
      <c r="L796" s="98"/>
      <c r="M796" s="98"/>
      <c r="N796" s="98"/>
      <c r="O796" s="98"/>
      <c r="P796" s="98"/>
      <c r="Q796" s="98"/>
      <c r="R796" s="98"/>
    </row>
    <row r="797" spans="1:18" ht="15" customHeight="1">
      <c r="A797" s="267" t="s">
        <v>200</v>
      </c>
      <c r="B797" s="267"/>
      <c r="C797" s="268" t="s">
        <v>103</v>
      </c>
      <c r="D797" s="42" t="s">
        <v>29</v>
      </c>
      <c r="E797" s="69">
        <v>1.507</v>
      </c>
      <c r="F797" s="221"/>
      <c r="G797" s="92" t="str">
        <f>CONCATENATE(D797," - ",E797,", ")</f>
        <v>MS iron scrap - 1.507, </v>
      </c>
      <c r="H797" s="285"/>
      <c r="I797" s="98" t="str">
        <f ca="1">IF(J796&gt;=3,(MID(I796,2,1)&amp;MID(I796,4,3)-K796),CELL("address",Z797))</f>
        <v>G798</v>
      </c>
      <c r="J797" s="98" t="str">
        <f ca="1">IF(J796&gt;=4,(MID(I797,1,1)&amp;MID(I797,2,3)+1),CELL("address",AA797))</f>
        <v>G799</v>
      </c>
      <c r="K797" s="98" t="str">
        <f ca="1">IF(J796&gt;=5,(MID(J797,1,1)&amp;MID(J797,2,3)+1),CELL("address",AB797))</f>
        <v>$AB$797</v>
      </c>
      <c r="L797" s="98" t="str">
        <f ca="1">IF(J796&gt;=6,(MID(K797,1,1)&amp;MID(K797,2,3)+1),CELL("address",AC797))</f>
        <v>$AC$797</v>
      </c>
      <c r="M797" s="98" t="str">
        <f ca="1">IF(J796&gt;=7,(MID(L797,1,1)&amp;MID(L797,2,3)+1),CELL("address",AD797))</f>
        <v>$AD$797</v>
      </c>
      <c r="N797" s="98" t="str">
        <f ca="1">IF(J796&gt;=8,(MID(M797,1,1)&amp;MID(M797,2,3)+1),CELL("address",AE797))</f>
        <v>$AE$797</v>
      </c>
      <c r="O797" s="98" t="str">
        <f ca="1">IF(J796&gt;=9,(MID(N797,1,1)&amp;MID(N797,2,3)+1),CELL("address",AF797))</f>
        <v>$AF$797</v>
      </c>
      <c r="P797" s="98" t="str">
        <f ca="1">IF(J796&gt;=10,(MID(O797,1,1)&amp;MID(O797,2,3)+1),CELL("address",AG797))</f>
        <v>$AG$797</v>
      </c>
      <c r="Q797" s="98" t="str">
        <f ca="1">IF(J796&gt;=11,(MID(P797,1,1)&amp;MID(P797,2,3)+1),CELL("address",AH797))</f>
        <v>$AH$797</v>
      </c>
      <c r="R797" s="98" t="str">
        <f ca="1">IF(J796&gt;=12,(MID(Q797,1,1)&amp;MID(Q797,2,3)+1),CELL("address",AI797))</f>
        <v>$AI$797</v>
      </c>
    </row>
    <row r="798" spans="1:15" ht="15" customHeight="1">
      <c r="A798" s="267"/>
      <c r="B798" s="267"/>
      <c r="C798" s="268"/>
      <c r="D798" s="40" t="s">
        <v>61</v>
      </c>
      <c r="E798" s="58">
        <v>1.45</v>
      </c>
      <c r="F798" s="205"/>
      <c r="G798" s="92" t="str">
        <f>CONCATENATE(D798," - ",E798,", ")</f>
        <v>MS Rail scrap - 1.45, </v>
      </c>
      <c r="H798" s="98"/>
      <c r="I798" s="98"/>
      <c r="J798" s="98"/>
      <c r="K798" s="98"/>
      <c r="L798" s="98"/>
      <c r="M798" s="98"/>
      <c r="N798" s="98"/>
      <c r="O798" s="98"/>
    </row>
    <row r="799" spans="1:15" ht="15" customHeight="1">
      <c r="A799" s="39"/>
      <c r="B799" s="41"/>
      <c r="C799" s="48"/>
      <c r="D799" s="41"/>
      <c r="E799" s="58"/>
      <c r="F799" s="98"/>
      <c r="G799" s="98"/>
      <c r="H799" s="98"/>
      <c r="I799" s="98"/>
      <c r="J799" s="98"/>
      <c r="K799" s="98"/>
      <c r="L799" s="98"/>
      <c r="M799" s="98"/>
      <c r="N799" s="98"/>
      <c r="O799" s="98"/>
    </row>
    <row r="800" spans="1:15" ht="15" customHeight="1">
      <c r="A800" s="53"/>
      <c r="B800" s="54"/>
      <c r="C800" s="54"/>
      <c r="D800" s="56"/>
      <c r="E800" s="57">
        <f>SUM(E802:E802)</f>
        <v>2</v>
      </c>
      <c r="F800" s="98"/>
      <c r="G800" s="98"/>
      <c r="H800" s="98"/>
      <c r="I800" s="98" t="str">
        <f ca="1">IF(G799&gt;=6,(MID(H800,1,1)&amp;MID(H800,2,3)+1),CELL("address",Z800))</f>
        <v>$Z$800</v>
      </c>
      <c r="J800" s="98" t="str">
        <f ca="1">IF(G799&gt;=7,(MID(I800,1,1)&amp;MID(I800,2,3)+1),CELL("address",AA800))</f>
        <v>$AA$800</v>
      </c>
      <c r="K800" s="98" t="str">
        <f ca="1">IF(G799&gt;=8,(MID(J800,1,1)&amp;MID(J800,2,3)+1),CELL("address",AB800))</f>
        <v>$AB$800</v>
      </c>
      <c r="L800" s="98" t="str">
        <f ca="1">IF(G799&gt;=9,(MID(K800,1,1)&amp;MID(K800,2,3)+1),CELL("address",AC800))</f>
        <v>$AC$800</v>
      </c>
      <c r="M800" s="98" t="str">
        <f ca="1">IF(G799&gt;=10,(MID(L800,1,1)&amp;MID(L800,2,3)+1),CELL("address",AD800))</f>
        <v>$AD$800</v>
      </c>
      <c r="N800" s="98" t="str">
        <f ca="1">IF(G799&gt;=11,(MID(M800,1,1)&amp;MID(M800,2,3)+1),CELL("address",AE800))</f>
        <v>$AE$800</v>
      </c>
      <c r="O800" s="98" t="str">
        <f ca="1">IF(G799&gt;=12,(MID(N800,1,1)&amp;MID(N800,2,3)+1),CELL("address",AF800))</f>
        <v>$AF$800</v>
      </c>
    </row>
    <row r="801" spans="1:18" ht="15" customHeight="1">
      <c r="A801" s="288" t="s">
        <v>5</v>
      </c>
      <c r="B801" s="288"/>
      <c r="C801" s="70" t="s">
        <v>17</v>
      </c>
      <c r="D801" s="222" t="s">
        <v>18</v>
      </c>
      <c r="E801" s="39" t="s">
        <v>69</v>
      </c>
      <c r="F801" s="98"/>
      <c r="G801" s="93" t="str">
        <f>CONCATENATE("U/S Tyres, Lying at ",C802,". Quantity in No - ")</f>
        <v>U/S Tyres, Lying at CS Sangrur. Quantity in No - </v>
      </c>
      <c r="H801" s="285" t="str">
        <f ca="1">CONCATENATE(G801,G802,(INDIRECT(I802)),(INDIRECT(J802)),(INDIRECT(K802)),(INDIRECT(L802)),(INDIRECT(M802)),(INDIRECT(N802)),(INDIRECT(O802)),(INDIRECT(P802)),(INDIRECT(Q802)),(INDIRECT(R802)),".")</f>
        <v>U/S Tyres, Lying at CS Sangrur. Quantity in No - U/S Tyres - 2, .</v>
      </c>
      <c r="I801" s="98" t="str">
        <f aca="true" ca="1" t="array" ref="I801">CELL("address",INDEX(G801:G819,MATCH(TRUE,ISBLANK(G801:G819),0)))</f>
        <v>$G$803</v>
      </c>
      <c r="J801" s="98">
        <f aca="true" t="array" ref="J801">MATCH(TRUE,ISBLANK(G801:G819),0)</f>
        <v>3</v>
      </c>
      <c r="K801" s="98">
        <f>J801-3</f>
        <v>0</v>
      </c>
      <c r="L801" s="98"/>
      <c r="M801" s="98"/>
      <c r="N801" s="98"/>
      <c r="O801" s="98"/>
      <c r="P801" s="98"/>
      <c r="Q801" s="98"/>
      <c r="R801" s="98"/>
    </row>
    <row r="802" spans="1:18" ht="15" customHeight="1">
      <c r="A802" s="267" t="s">
        <v>207</v>
      </c>
      <c r="B802" s="267"/>
      <c r="C802" s="222" t="s">
        <v>79</v>
      </c>
      <c r="D802" s="42" t="s">
        <v>381</v>
      </c>
      <c r="E802" s="69">
        <v>2</v>
      </c>
      <c r="F802" s="98"/>
      <c r="G802" s="92" t="str">
        <f>CONCATENATE(D802," - ",E802,", ")</f>
        <v>U/S Tyres - 2, </v>
      </c>
      <c r="H802" s="285"/>
      <c r="I802" s="98" t="str">
        <f ca="1">IF(J801&gt;=3,(MID(I801,2,1)&amp;MID(I801,4,3)-K801),CELL("address",Z802))</f>
        <v>G803</v>
      </c>
      <c r="J802" s="98" t="str">
        <f ca="1">IF(J801&gt;=4,(MID(I802,1,1)&amp;MID(I802,2,3)+1),CELL("address",AA802))</f>
        <v>$AA$802</v>
      </c>
      <c r="K802" s="98" t="str">
        <f ca="1">IF(J801&gt;=5,(MID(J802,1,1)&amp;MID(J802,2,3)+1),CELL("address",AB802))</f>
        <v>$AB$802</v>
      </c>
      <c r="L802" s="98" t="str">
        <f ca="1">IF(J801&gt;=6,(MID(K802,1,1)&amp;MID(K802,2,3)+1),CELL("address",AC802))</f>
        <v>$AC$802</v>
      </c>
      <c r="M802" s="98" t="str">
        <f ca="1">IF(J801&gt;=7,(MID(L802,1,1)&amp;MID(L802,2,3)+1),CELL("address",AD802))</f>
        <v>$AD$802</v>
      </c>
      <c r="N802" s="98" t="str">
        <f ca="1">IF(J801&gt;=8,(MID(M802,1,1)&amp;MID(M802,2,3)+1),CELL("address",AE802))</f>
        <v>$AE$802</v>
      </c>
      <c r="O802" s="98" t="str">
        <f ca="1">IF(J801&gt;=9,(MID(N802,1,1)&amp;MID(N802,2,3)+1),CELL("address",AF802))</f>
        <v>$AF$802</v>
      </c>
      <c r="P802" s="98" t="str">
        <f ca="1">IF(J801&gt;=10,(MID(O802,1,1)&amp;MID(O802,2,3)+1),CELL("address",AG802))</f>
        <v>$AG$802</v>
      </c>
      <c r="Q802" s="98" t="str">
        <f ca="1">IF(J801&gt;=11,(MID(P802,1,1)&amp;MID(P802,2,3)+1),CELL("address",AH802))</f>
        <v>$AH$802</v>
      </c>
      <c r="R802" s="98" t="str">
        <f ca="1">IF(J801&gt;=12,(MID(Q802,1,1)&amp;MID(Q802,2,3)+1),CELL("address",AI802))</f>
        <v>$AI$802</v>
      </c>
    </row>
    <row r="803" spans="1:15" ht="15" customHeight="1">
      <c r="A803" s="39"/>
      <c r="B803" s="41"/>
      <c r="C803" s="48"/>
      <c r="D803" s="41"/>
      <c r="E803" s="58"/>
      <c r="F803" s="98"/>
      <c r="G803" s="98"/>
      <c r="H803" s="98"/>
      <c r="I803" s="98"/>
      <c r="J803" s="98"/>
      <c r="K803" s="98"/>
      <c r="L803" s="98"/>
      <c r="M803" s="98"/>
      <c r="N803" s="98"/>
      <c r="O803" s="98"/>
    </row>
    <row r="804" spans="1:15" ht="15" customHeight="1">
      <c r="A804" s="53"/>
      <c r="B804" s="54"/>
      <c r="C804" s="54"/>
      <c r="D804" s="56"/>
      <c r="E804" s="57">
        <f>SUM(E806:E807)</f>
        <v>105</v>
      </c>
      <c r="F804" s="98"/>
      <c r="G804" s="98"/>
      <c r="H804" s="98"/>
      <c r="I804" s="98"/>
      <c r="J804" s="98"/>
      <c r="K804" s="98"/>
      <c r="L804" s="98"/>
      <c r="M804" s="98"/>
      <c r="N804" s="98"/>
      <c r="O804" s="98"/>
    </row>
    <row r="805" spans="1:18" ht="15" customHeight="1">
      <c r="A805" s="288" t="s">
        <v>5</v>
      </c>
      <c r="B805" s="288"/>
      <c r="C805" s="70" t="s">
        <v>17</v>
      </c>
      <c r="D805" s="222" t="s">
        <v>18</v>
      </c>
      <c r="E805" s="39" t="s">
        <v>69</v>
      </c>
      <c r="F805" s="98"/>
      <c r="G805" s="93" t="str">
        <f>CONCATENATE("U/S Tyres and Tubes , Lying at ",C806,". Quantity in No - ")</f>
        <v>U/S Tyres and Tubes , Lying at CS Patiala. Quantity in No - </v>
      </c>
      <c r="H805" s="285" t="str">
        <f ca="1">CONCATENATE(G805,G806,(INDIRECT(I806)),(INDIRECT(J806)),(INDIRECT(K806)),(INDIRECT(L806)),(INDIRECT(M806)),(INDIRECT(N806)),(INDIRECT(O806)),(INDIRECT(P806)),(INDIRECT(Q806)),(INDIRECT(R806)),".")</f>
        <v>U/S Tyres and Tubes , Lying at CS Patiala. Quantity in No - U/S Tyres - 60, U/S Tubes - 45, .</v>
      </c>
      <c r="I805" s="98" t="str">
        <f aca="true" ca="1" t="array" ref="I805">CELL("address",INDEX(G805:G823,MATCH(TRUE,ISBLANK(G805:G823),0)))</f>
        <v>$G$808</v>
      </c>
      <c r="J805" s="98">
        <f aca="true" t="array" ref="J805">MATCH(TRUE,ISBLANK(G805:G823),0)</f>
        <v>4</v>
      </c>
      <c r="K805" s="98">
        <f>J805-3</f>
        <v>1</v>
      </c>
      <c r="L805" s="98"/>
      <c r="M805" s="98"/>
      <c r="N805" s="98"/>
      <c r="O805" s="98"/>
      <c r="P805" s="98"/>
      <c r="Q805" s="98"/>
      <c r="R805" s="98"/>
    </row>
    <row r="806" spans="1:18" ht="15" customHeight="1">
      <c r="A806" s="267" t="s">
        <v>208</v>
      </c>
      <c r="B806" s="267"/>
      <c r="C806" s="268" t="s">
        <v>52</v>
      </c>
      <c r="D806" s="40" t="s">
        <v>381</v>
      </c>
      <c r="E806" s="266">
        <v>60</v>
      </c>
      <c r="F806" s="98"/>
      <c r="G806" s="92" t="str">
        <f>CONCATENATE(D806," - ",E806,", ")</f>
        <v>U/S Tyres - 60, </v>
      </c>
      <c r="H806" s="285"/>
      <c r="I806" s="98" t="str">
        <f ca="1">IF(J805&gt;=3,(MID(I805,2,1)&amp;MID(I805,4,3)-K805),CELL("address",Z806))</f>
        <v>G807</v>
      </c>
      <c r="J806" s="98" t="str">
        <f ca="1">IF(J805&gt;=4,(MID(I806,1,1)&amp;MID(I806,2,3)+1),CELL("address",AA806))</f>
        <v>G808</v>
      </c>
      <c r="K806" s="98" t="str">
        <f ca="1">IF(J805&gt;=5,(MID(J806,1,1)&amp;MID(J806,2,3)+1),CELL("address",AB806))</f>
        <v>$AB$806</v>
      </c>
      <c r="L806" s="98" t="str">
        <f ca="1">IF(J805&gt;=6,(MID(K806,1,1)&amp;MID(K806,2,3)+1),CELL("address",AC806))</f>
        <v>$AC$806</v>
      </c>
      <c r="M806" s="98" t="str">
        <f ca="1">IF(J805&gt;=7,(MID(L806,1,1)&amp;MID(L806,2,3)+1),CELL("address",AD806))</f>
        <v>$AD$806</v>
      </c>
      <c r="N806" s="98" t="str">
        <f ca="1">IF(J805&gt;=8,(MID(M806,1,1)&amp;MID(M806,2,3)+1),CELL("address",AE806))</f>
        <v>$AE$806</v>
      </c>
      <c r="O806" s="98" t="str">
        <f ca="1">IF(J805&gt;=9,(MID(N806,1,1)&amp;MID(N806,2,3)+1),CELL("address",AF806))</f>
        <v>$AF$806</v>
      </c>
      <c r="P806" s="98" t="str">
        <f ca="1">IF(J805&gt;=10,(MID(O806,1,1)&amp;MID(O806,2,3)+1),CELL("address",AG806))</f>
        <v>$AG$806</v>
      </c>
      <c r="Q806" s="98" t="str">
        <f ca="1">IF(J805&gt;=11,(MID(P806,1,1)&amp;MID(P806,2,3)+1),CELL("address",AH806))</f>
        <v>$AH$806</v>
      </c>
      <c r="R806" s="98" t="str">
        <f ca="1">IF(J805&gt;=12,(MID(Q806,1,1)&amp;MID(Q806,2,3)+1),CELL("address",AI806))</f>
        <v>$AI$806</v>
      </c>
    </row>
    <row r="807" spans="1:15" ht="15" customHeight="1">
      <c r="A807" s="267"/>
      <c r="B807" s="267"/>
      <c r="C807" s="268"/>
      <c r="D807" s="40" t="s">
        <v>382</v>
      </c>
      <c r="E807" s="266">
        <v>45</v>
      </c>
      <c r="F807" s="98"/>
      <c r="G807" s="92" t="str">
        <f>CONCATENATE(D807," - ",E807,", ")</f>
        <v>U/S Tubes - 45, </v>
      </c>
      <c r="H807" s="98"/>
      <c r="I807" s="98"/>
      <c r="J807" s="98"/>
      <c r="K807" s="98"/>
      <c r="L807" s="98"/>
      <c r="M807" s="98"/>
      <c r="N807" s="98"/>
      <c r="O807" s="98"/>
    </row>
    <row r="808" spans="1:15" ht="15" customHeight="1">
      <c r="A808" s="269"/>
      <c r="B808" s="270"/>
      <c r="C808" s="240"/>
      <c r="D808" s="243"/>
      <c r="E808" s="185"/>
      <c r="F808" s="98"/>
      <c r="G808" s="98"/>
      <c r="H808" s="98"/>
      <c r="I808" s="98"/>
      <c r="J808" s="98"/>
      <c r="K808" s="98"/>
      <c r="L808" s="98"/>
      <c r="M808" s="98"/>
      <c r="N808" s="98"/>
      <c r="O808" s="98"/>
    </row>
    <row r="809" spans="1:15" ht="15" customHeight="1">
      <c r="A809" s="271"/>
      <c r="B809" s="272"/>
      <c r="C809" s="40"/>
      <c r="D809" s="239"/>
      <c r="E809" s="57">
        <f>SUM(E811:E815)</f>
        <v>4.514</v>
      </c>
      <c r="F809" s="98"/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8" ht="15" customHeight="1">
      <c r="A810" s="288" t="s">
        <v>5</v>
      </c>
      <c r="B810" s="288"/>
      <c r="C810" s="70" t="s">
        <v>17</v>
      </c>
      <c r="D810" s="222" t="s">
        <v>18</v>
      </c>
      <c r="E810" s="39" t="s">
        <v>7</v>
      </c>
      <c r="F810" s="98"/>
      <c r="G810" s="93" t="str">
        <f>CONCATENATE("Misc. Iron Scrap, Lying at ",C811,". Quantity in MT - ")</f>
        <v>Misc. Iron Scrap, Lying at CS Sangrur. Quantity in MT - </v>
      </c>
      <c r="H810" s="285" t="str">
        <f ca="1">CONCATENATE(G810,G811,(INDIRECT(I811)),(INDIRECT(J811)),(INDIRECT(K811)),(INDIRECT(L811)),(INDIRECT(M811)),(INDIRECT(N811)),(INDIRECT(O811)),(INDIRECT(P811)),(INDIRECT(Q811)),(INDIRECT(R811)),".")</f>
        <v>Misc. Iron Scrap, Lying at CS Sangrur. Quantity in MT - Tubular Poles - 0.155, MS iron scrap - 3.163, MS Rail scrap - 0.33, Transformer body scrap - 0.855, G.I. Scrap - 0.011, .</v>
      </c>
      <c r="I810" s="98" t="str">
        <f aca="true" ca="1" t="array" ref="I810">CELL("address",INDEX(G810:G828,MATCH(TRUE,ISBLANK(G810:G828),0)))</f>
        <v>$G$816</v>
      </c>
      <c r="J810" s="98">
        <f aca="true" t="array" ref="J810">MATCH(TRUE,ISBLANK(G810:G828),0)</f>
        <v>7</v>
      </c>
      <c r="K810" s="98">
        <f>J810-3</f>
        <v>4</v>
      </c>
      <c r="L810" s="98"/>
      <c r="M810" s="98"/>
      <c r="N810" s="98"/>
      <c r="O810" s="98"/>
      <c r="P810" s="98"/>
      <c r="Q810" s="98"/>
      <c r="R810" s="98"/>
    </row>
    <row r="811" spans="1:18" ht="15" customHeight="1">
      <c r="A811" s="267" t="s">
        <v>176</v>
      </c>
      <c r="B811" s="267"/>
      <c r="C811" s="268" t="s">
        <v>79</v>
      </c>
      <c r="D811" s="42" t="s">
        <v>387</v>
      </c>
      <c r="E811" s="69">
        <v>0.155</v>
      </c>
      <c r="F811" s="98"/>
      <c r="G811" s="92" t="str">
        <f>CONCATENATE(D811," - ",E811,", ")</f>
        <v>Tubular Poles - 0.155, </v>
      </c>
      <c r="H811" s="285"/>
      <c r="I811" s="98" t="str">
        <f ca="1">IF(J810&gt;=3,(MID(I810,2,1)&amp;MID(I810,4,3)-K810),CELL("address",Z811))</f>
        <v>G812</v>
      </c>
      <c r="J811" s="98" t="str">
        <f ca="1">IF(J810&gt;=4,(MID(I811,1,1)&amp;MID(I811,2,3)+1),CELL("address",AA811))</f>
        <v>G813</v>
      </c>
      <c r="K811" s="98" t="str">
        <f ca="1">IF(J810&gt;=5,(MID(J811,1,1)&amp;MID(J811,2,3)+1),CELL("address",AB811))</f>
        <v>G814</v>
      </c>
      <c r="L811" s="98" t="str">
        <f ca="1">IF(J810&gt;=6,(MID(K811,1,1)&amp;MID(K811,2,3)+1),CELL("address",AC811))</f>
        <v>G815</v>
      </c>
      <c r="M811" s="98" t="str">
        <f ca="1">IF(J810&gt;=7,(MID(L811,1,1)&amp;MID(L811,2,3)+1),CELL("address",AD811))</f>
        <v>G816</v>
      </c>
      <c r="N811" s="98" t="str">
        <f ca="1">IF(J810&gt;=8,(MID(M811,1,1)&amp;MID(M811,2,3)+1),CELL("address",AE811))</f>
        <v>$AE$811</v>
      </c>
      <c r="O811" s="98" t="str">
        <f ca="1">IF(J810&gt;=9,(MID(N811,1,1)&amp;MID(N811,2,3)+1),CELL("address",AF811))</f>
        <v>$AF$811</v>
      </c>
      <c r="P811" s="98" t="str">
        <f ca="1">IF(J810&gt;=10,(MID(O811,1,1)&amp;MID(O811,2,3)+1),CELL("address",AG811))</f>
        <v>$AG$811</v>
      </c>
      <c r="Q811" s="98" t="str">
        <f ca="1">IF(J810&gt;=11,(MID(P811,1,1)&amp;MID(P811,2,3)+1),CELL("address",AH811))</f>
        <v>$AH$811</v>
      </c>
      <c r="R811" s="98" t="str">
        <f ca="1">IF(J810&gt;=12,(MID(Q811,1,1)&amp;MID(Q811,2,3)+1),CELL("address",AI811))</f>
        <v>$AI$811</v>
      </c>
    </row>
    <row r="812" spans="1:15" ht="15" customHeight="1">
      <c r="A812" s="267"/>
      <c r="B812" s="267"/>
      <c r="C812" s="268"/>
      <c r="D812" s="42" t="s">
        <v>29</v>
      </c>
      <c r="E812" s="58">
        <v>3.163</v>
      </c>
      <c r="F812" s="98"/>
      <c r="G812" s="92" t="str">
        <f>CONCATENATE(D812," - ",E812,", ")</f>
        <v>MS iron scrap - 3.163, </v>
      </c>
      <c r="H812" s="98"/>
      <c r="I812" s="98"/>
      <c r="J812" s="98"/>
      <c r="K812" s="98"/>
      <c r="L812" s="98"/>
      <c r="M812" s="98"/>
      <c r="N812" s="98"/>
      <c r="O812" s="98"/>
    </row>
    <row r="813" spans="1:15" ht="15" customHeight="1">
      <c r="A813" s="267"/>
      <c r="B813" s="267"/>
      <c r="C813" s="268"/>
      <c r="D813" s="42" t="s">
        <v>61</v>
      </c>
      <c r="E813" s="58">
        <v>0.33</v>
      </c>
      <c r="F813" s="98"/>
      <c r="G813" s="92" t="str">
        <f>CONCATENATE(D813," - ",E813,", ")</f>
        <v>MS Rail scrap - 0.33, </v>
      </c>
      <c r="H813" s="98"/>
      <c r="I813" s="98" t="e">
        <f ca="1">IF(G812&gt;=6,(MID(H813,1,1)&amp;MID(H813,2,3)+1),CELL("address",Z813))</f>
        <v>#VALUE!</v>
      </c>
      <c r="J813" s="98" t="e">
        <f ca="1">IF(G812&gt;=7,(MID(I813,1,1)&amp;MID(I813,2,3)+1),CELL("address",AA813))</f>
        <v>#VALUE!</v>
      </c>
      <c r="K813" s="98" t="e">
        <f ca="1">IF(G812&gt;=8,(MID(J813,1,1)&amp;MID(J813,2,3)+1),CELL("address",AB813))</f>
        <v>#VALUE!</v>
      </c>
      <c r="L813" s="98" t="e">
        <f ca="1">IF(G812&gt;=9,(MID(K813,1,1)&amp;MID(K813,2,3)+1),CELL("address",AC813))</f>
        <v>#VALUE!</v>
      </c>
      <c r="M813" s="98" t="e">
        <f ca="1">IF(G812&gt;=10,(MID(L813,1,1)&amp;MID(L813,2,3)+1),CELL("address",AD813))</f>
        <v>#VALUE!</v>
      </c>
      <c r="N813" s="98" t="e">
        <f ca="1">IF(G812&gt;=11,(MID(M813,1,1)&amp;MID(M813,2,3)+1),CELL("address",AE813))</f>
        <v>#VALUE!</v>
      </c>
      <c r="O813" s="98" t="e">
        <f ca="1">IF(G812&gt;=12,(MID(N813,1,1)&amp;MID(N813,2,3)+1),CELL("address",AF813))</f>
        <v>#VALUE!</v>
      </c>
    </row>
    <row r="814" spans="1:15" ht="15" customHeight="1">
      <c r="A814" s="267"/>
      <c r="B814" s="267"/>
      <c r="C814" s="268"/>
      <c r="D814" s="81" t="s">
        <v>60</v>
      </c>
      <c r="E814" s="58">
        <v>0.855</v>
      </c>
      <c r="F814" s="98"/>
      <c r="G814" s="92" t="str">
        <f>CONCATENATE(D814," - ",E814,", ")</f>
        <v>Transformer body scrap - 0.855, </v>
      </c>
      <c r="H814" s="98"/>
      <c r="I814" s="98"/>
      <c r="J814" s="98"/>
      <c r="K814" s="98"/>
      <c r="L814" s="98"/>
      <c r="M814" s="98"/>
      <c r="N814" s="98"/>
      <c r="O814" s="98"/>
    </row>
    <row r="815" spans="1:15" ht="15" customHeight="1">
      <c r="A815" s="267"/>
      <c r="B815" s="267"/>
      <c r="C815" s="268"/>
      <c r="D815" s="81" t="s">
        <v>198</v>
      </c>
      <c r="E815" s="58">
        <v>0.011</v>
      </c>
      <c r="F815" s="98"/>
      <c r="G815" s="92" t="str">
        <f>CONCATENATE(D815," - ",E815,", ")</f>
        <v>G.I. Scrap - 0.011, </v>
      </c>
      <c r="H815" s="98"/>
      <c r="I815" s="98"/>
      <c r="J815" s="98"/>
      <c r="K815" s="98"/>
      <c r="L815" s="98"/>
      <c r="M815" s="98"/>
      <c r="N815" s="98"/>
      <c r="O815" s="98"/>
    </row>
    <row r="816" spans="1:15" ht="15" customHeight="1">
      <c r="A816" s="39"/>
      <c r="B816" s="41"/>
      <c r="C816" s="48"/>
      <c r="D816" s="234"/>
      <c r="E816" s="185"/>
      <c r="F816" s="98"/>
      <c r="G816" s="98"/>
      <c r="H816" s="98"/>
      <c r="I816" s="98"/>
      <c r="J816" s="98"/>
      <c r="K816" s="98"/>
      <c r="L816" s="98"/>
      <c r="M816" s="98"/>
      <c r="N816" s="98"/>
      <c r="O816" s="98"/>
    </row>
    <row r="817" spans="1:15" ht="15" customHeight="1">
      <c r="A817" s="53"/>
      <c r="B817" s="54"/>
      <c r="C817" s="54"/>
      <c r="D817" s="56"/>
      <c r="E817" s="57">
        <f>SUM(E819:E821)</f>
        <v>3.185</v>
      </c>
      <c r="F817" s="98"/>
      <c r="G817" s="98"/>
      <c r="H817" s="98"/>
      <c r="I817" s="98"/>
      <c r="J817" s="98"/>
      <c r="K817" s="98"/>
      <c r="L817" s="98"/>
      <c r="M817" s="98"/>
      <c r="N817" s="98"/>
      <c r="O817" s="98"/>
    </row>
    <row r="818" spans="1:18" ht="15" customHeight="1">
      <c r="A818" s="288" t="s">
        <v>5</v>
      </c>
      <c r="B818" s="288"/>
      <c r="C818" s="70" t="s">
        <v>17</v>
      </c>
      <c r="D818" s="222" t="s">
        <v>18</v>
      </c>
      <c r="E818" s="39" t="s">
        <v>7</v>
      </c>
      <c r="F818" s="98"/>
      <c r="G818" s="93" t="str">
        <f>CONCATENATE("Misc. Iron Scrap, Lying at ",C819,". Quantity in MT - ")</f>
        <v>Misc. Iron Scrap, Lying at OL Barnala. Quantity in MT - </v>
      </c>
      <c r="H818" s="285" t="str">
        <f ca="1">CONCATENATE(G818,G819,(INDIRECT(I819)),(INDIRECT(J819)),(INDIRECT(K819)),(INDIRECT(L819)),(INDIRECT(M819)),(INDIRECT(N819)),(INDIRECT(O819)),(INDIRECT(P819)),(INDIRECT(Q819)),(INDIRECT(R819)),".")</f>
        <v>Misc. Iron Scrap, Lying at OL Barnala. Quantity in MT - Tubular Poles - 0.282, MS iron scrap - 2.368, Transformer body scrap - 0.535, .</v>
      </c>
      <c r="I818" s="98" t="str">
        <f aca="true" ca="1" t="array" ref="I818">CELL("address",INDEX(G818:G836,MATCH(TRUE,ISBLANK(G818:G836),0)))</f>
        <v>$G$822</v>
      </c>
      <c r="J818" s="98">
        <f aca="true" t="array" ref="J818">MATCH(TRUE,ISBLANK(G818:G836),0)</f>
        <v>5</v>
      </c>
      <c r="K818" s="98">
        <f>J818-3</f>
        <v>2</v>
      </c>
      <c r="L818" s="98"/>
      <c r="M818" s="98"/>
      <c r="N818" s="98"/>
      <c r="O818" s="98"/>
      <c r="P818" s="98"/>
      <c r="Q818" s="98"/>
      <c r="R818" s="98"/>
    </row>
    <row r="819" spans="1:18" ht="15" customHeight="1">
      <c r="A819" s="267" t="s">
        <v>177</v>
      </c>
      <c r="B819" s="267"/>
      <c r="C819" s="268" t="s">
        <v>190</v>
      </c>
      <c r="D819" s="42" t="s">
        <v>387</v>
      </c>
      <c r="E819" s="69">
        <v>0.282</v>
      </c>
      <c r="F819" s="98"/>
      <c r="G819" s="92" t="str">
        <f>CONCATENATE(D819," - ",E819,", ")</f>
        <v>Tubular Poles - 0.282, </v>
      </c>
      <c r="H819" s="285"/>
      <c r="I819" s="98" t="str">
        <f ca="1">IF(J818&gt;=3,(MID(I818,2,1)&amp;MID(I818,4,3)-K818),CELL("address",Z819))</f>
        <v>G820</v>
      </c>
      <c r="J819" s="98" t="str">
        <f ca="1">IF(J818&gt;=4,(MID(I819,1,1)&amp;MID(I819,2,3)+1),CELL("address",AA819))</f>
        <v>G821</v>
      </c>
      <c r="K819" s="98" t="str">
        <f ca="1">IF(J818&gt;=5,(MID(J819,1,1)&amp;MID(J819,2,3)+1),CELL("address",AB819))</f>
        <v>G822</v>
      </c>
      <c r="L819" s="98" t="str">
        <f ca="1">IF(J818&gt;=6,(MID(K819,1,1)&amp;MID(K819,2,3)+1),CELL("address",AC819))</f>
        <v>$AC$819</v>
      </c>
      <c r="M819" s="98" t="str">
        <f ca="1">IF(J818&gt;=7,(MID(L819,1,1)&amp;MID(L819,2,3)+1),CELL("address",AD819))</f>
        <v>$AD$819</v>
      </c>
      <c r="N819" s="98" t="str">
        <f ca="1">IF(J818&gt;=8,(MID(M819,1,1)&amp;MID(M819,2,3)+1),CELL("address",AE819))</f>
        <v>$AE$819</v>
      </c>
      <c r="O819" s="98" t="str">
        <f ca="1">IF(J818&gt;=9,(MID(N819,1,1)&amp;MID(N819,2,3)+1),CELL("address",AF819))</f>
        <v>$AF$819</v>
      </c>
      <c r="P819" s="98" t="str">
        <f ca="1">IF(J818&gt;=10,(MID(O819,1,1)&amp;MID(O819,2,3)+1),CELL("address",AG819))</f>
        <v>$AG$819</v>
      </c>
      <c r="Q819" s="98" t="str">
        <f ca="1">IF(J818&gt;=11,(MID(P819,1,1)&amp;MID(P819,2,3)+1),CELL("address",AH819))</f>
        <v>$AH$819</v>
      </c>
      <c r="R819" s="98" t="str">
        <f ca="1">IF(J818&gt;=12,(MID(Q819,1,1)&amp;MID(Q819,2,3)+1),CELL("address",AI819))</f>
        <v>$AI$819</v>
      </c>
    </row>
    <row r="820" spans="1:15" ht="15" customHeight="1">
      <c r="A820" s="267"/>
      <c r="B820" s="267"/>
      <c r="C820" s="268"/>
      <c r="D820" s="42" t="s">
        <v>29</v>
      </c>
      <c r="E820" s="58">
        <v>2.368</v>
      </c>
      <c r="F820" s="98"/>
      <c r="G820" s="92" t="str">
        <f>CONCATENATE(D820," - ",E820,", ")</f>
        <v>MS iron scrap - 2.368, </v>
      </c>
      <c r="H820" s="98"/>
      <c r="I820" s="98"/>
      <c r="J820" s="98"/>
      <c r="K820" s="98"/>
      <c r="L820" s="98"/>
      <c r="M820" s="98"/>
      <c r="N820" s="98"/>
      <c r="O820" s="98"/>
    </row>
    <row r="821" spans="1:15" ht="15" customHeight="1">
      <c r="A821" s="267"/>
      <c r="B821" s="267"/>
      <c r="C821" s="268"/>
      <c r="D821" s="81" t="s">
        <v>60</v>
      </c>
      <c r="E821" s="58">
        <v>0.535</v>
      </c>
      <c r="F821" s="98"/>
      <c r="G821" s="92" t="str">
        <f>CONCATENATE(D821," - ",E821,", ")</f>
        <v>Transformer body scrap - 0.535, </v>
      </c>
      <c r="H821" s="98"/>
      <c r="I821" s="98"/>
      <c r="J821" s="98"/>
      <c r="K821" s="98"/>
      <c r="L821" s="98"/>
      <c r="M821" s="98"/>
      <c r="N821" s="98"/>
      <c r="O821" s="98"/>
    </row>
    <row r="822" spans="1:15" ht="15" customHeight="1">
      <c r="A822" s="39"/>
      <c r="B822" s="41"/>
      <c r="C822" s="48"/>
      <c r="D822" s="234"/>
      <c r="E822" s="185"/>
      <c r="F822" s="98"/>
      <c r="G822" s="98"/>
      <c r="H822" s="98"/>
      <c r="I822" s="98"/>
      <c r="J822" s="98"/>
      <c r="K822" s="98"/>
      <c r="L822" s="98"/>
      <c r="M822" s="98"/>
      <c r="N822" s="98"/>
      <c r="O822" s="98"/>
    </row>
    <row r="823" spans="1:15" ht="15" customHeight="1">
      <c r="A823" s="53"/>
      <c r="B823" s="54"/>
      <c r="C823" s="54"/>
      <c r="D823" s="56"/>
      <c r="E823" s="57">
        <f>SUM(E825:E829)</f>
        <v>2.49</v>
      </c>
      <c r="F823" s="98"/>
      <c r="G823" s="98"/>
      <c r="H823" s="98"/>
      <c r="I823" s="98"/>
      <c r="J823" s="98"/>
      <c r="K823" s="98"/>
      <c r="L823" s="98"/>
      <c r="M823" s="98"/>
      <c r="N823" s="98"/>
      <c r="O823" s="98"/>
    </row>
    <row r="824" spans="1:18" ht="15" customHeight="1">
      <c r="A824" s="288" t="s">
        <v>5</v>
      </c>
      <c r="B824" s="288"/>
      <c r="C824" s="70" t="s">
        <v>17</v>
      </c>
      <c r="D824" s="222" t="s">
        <v>18</v>
      </c>
      <c r="E824" s="39" t="s">
        <v>7</v>
      </c>
      <c r="F824" s="98"/>
      <c r="G824" s="93" t="str">
        <f>CONCATENATE("Misc. Iron Scrap, Lying at ",C825,". Quantity in MT - ")</f>
        <v>Misc. Iron Scrap, Lying at CS Mohali. Quantity in MT - </v>
      </c>
      <c r="H824" s="285" t="str">
        <f ca="1">CONCATENATE(G824,G825,(INDIRECT(I825)),(INDIRECT(J825)),(INDIRECT(K825)),(INDIRECT(L825)),(INDIRECT(M825)),(INDIRECT(N825)),(INDIRECT(O825)),(INDIRECT(P825)),(INDIRECT(Q825)),(INDIRECT(R825)),".")</f>
        <v>Misc. Iron Scrap, Lying at CS Mohali. Quantity in MT - Piller box scrap - 0.095, MS iron scrap - 2.002, MS Rail scrap - 0.18, Transformer body scrap - 0.113, G.I. Scrap - 0.1, .</v>
      </c>
      <c r="I824" s="98" t="str">
        <f aca="true" ca="1" t="array" ref="I824">CELL("address",INDEX(G824:G842,MATCH(TRUE,ISBLANK(G824:G842),0)))</f>
        <v>$G$830</v>
      </c>
      <c r="J824" s="98">
        <f aca="true" t="array" ref="J824">MATCH(TRUE,ISBLANK(G824:G842),0)</f>
        <v>7</v>
      </c>
      <c r="K824" s="98">
        <f>J824-3</f>
        <v>4</v>
      </c>
      <c r="L824" s="98"/>
      <c r="M824" s="98"/>
      <c r="N824" s="98"/>
      <c r="O824" s="98"/>
      <c r="P824" s="98"/>
      <c r="Q824" s="98"/>
      <c r="R824" s="98"/>
    </row>
    <row r="825" spans="1:18" ht="15" customHeight="1">
      <c r="A825" s="267" t="s">
        <v>321</v>
      </c>
      <c r="B825" s="267"/>
      <c r="C825" s="268" t="s">
        <v>62</v>
      </c>
      <c r="D825" s="42" t="s">
        <v>392</v>
      </c>
      <c r="E825" s="69">
        <v>0.095</v>
      </c>
      <c r="F825" s="98"/>
      <c r="G825" s="92" t="str">
        <f>CONCATENATE(D825," - ",E825,", ")</f>
        <v>Piller box scrap - 0.095, </v>
      </c>
      <c r="H825" s="285"/>
      <c r="I825" s="98" t="str">
        <f ca="1">IF(J824&gt;=3,(MID(I824,2,1)&amp;MID(I824,4,3)-K824),CELL("address",Z825))</f>
        <v>G826</v>
      </c>
      <c r="J825" s="98" t="str">
        <f ca="1">IF(J824&gt;=4,(MID(I825,1,1)&amp;MID(I825,2,3)+1),CELL("address",AA825))</f>
        <v>G827</v>
      </c>
      <c r="K825" s="98" t="str">
        <f ca="1">IF(J824&gt;=5,(MID(J825,1,1)&amp;MID(J825,2,3)+1),CELL("address",AB825))</f>
        <v>G828</v>
      </c>
      <c r="L825" s="98" t="str">
        <f ca="1">IF(J824&gt;=6,(MID(K825,1,1)&amp;MID(K825,2,3)+1),CELL("address",AC825))</f>
        <v>G829</v>
      </c>
      <c r="M825" s="98" t="str">
        <f ca="1">IF(J824&gt;=7,(MID(L825,1,1)&amp;MID(L825,2,3)+1),CELL("address",AD825))</f>
        <v>G830</v>
      </c>
      <c r="N825" s="98" t="str">
        <f ca="1">IF(J824&gt;=8,(MID(M825,1,1)&amp;MID(M825,2,3)+1),CELL("address",AE825))</f>
        <v>$AE$825</v>
      </c>
      <c r="O825" s="98" t="str">
        <f ca="1">IF(J824&gt;=9,(MID(N825,1,1)&amp;MID(N825,2,3)+1),CELL("address",AF825))</f>
        <v>$AF$825</v>
      </c>
      <c r="P825" s="98" t="str">
        <f ca="1">IF(J824&gt;=10,(MID(O825,1,1)&amp;MID(O825,2,3)+1),CELL("address",AG825))</f>
        <v>$AG$825</v>
      </c>
      <c r="Q825" s="98" t="str">
        <f ca="1">IF(J824&gt;=11,(MID(P825,1,1)&amp;MID(P825,2,3)+1),CELL("address",AH825))</f>
        <v>$AH$825</v>
      </c>
      <c r="R825" s="98" t="str">
        <f ca="1">IF(J824&gt;=12,(MID(Q825,1,1)&amp;MID(Q825,2,3)+1),CELL("address",AI825))</f>
        <v>$AI$825</v>
      </c>
    </row>
    <row r="826" spans="1:15" ht="15" customHeight="1">
      <c r="A826" s="267"/>
      <c r="B826" s="267"/>
      <c r="C826" s="268"/>
      <c r="D826" s="42" t="s">
        <v>29</v>
      </c>
      <c r="E826" s="58">
        <v>2.002</v>
      </c>
      <c r="F826" s="205"/>
      <c r="G826" s="92" t="str">
        <f>CONCATENATE(D826," - ",E826,", ")</f>
        <v>MS iron scrap - 2.002, </v>
      </c>
      <c r="H826" s="98"/>
      <c r="I826" s="98"/>
      <c r="J826" s="98"/>
      <c r="K826" s="98"/>
      <c r="L826" s="98"/>
      <c r="M826" s="98"/>
      <c r="N826" s="98"/>
      <c r="O826" s="98"/>
    </row>
    <row r="827" spans="1:15" ht="15" customHeight="1">
      <c r="A827" s="267"/>
      <c r="B827" s="267"/>
      <c r="C827" s="268"/>
      <c r="D827" s="42" t="s">
        <v>61</v>
      </c>
      <c r="E827" s="58">
        <v>0.18</v>
      </c>
      <c r="F827" s="205"/>
      <c r="G827" s="92" t="str">
        <f>CONCATENATE(D827," - ",E827,", ")</f>
        <v>MS Rail scrap - 0.18, </v>
      </c>
      <c r="H827" s="98"/>
      <c r="I827" s="98" t="e">
        <f ca="1">IF(G826&gt;=6,(MID(H827,1,1)&amp;MID(H827,2,3)+1),CELL("address",Z827))</f>
        <v>#VALUE!</v>
      </c>
      <c r="J827" s="98" t="e">
        <f ca="1">IF(G826&gt;=7,(MID(I827,1,1)&amp;MID(I827,2,3)+1),CELL("address",AA827))</f>
        <v>#VALUE!</v>
      </c>
      <c r="K827" s="98" t="e">
        <f ca="1">IF(G826&gt;=8,(MID(J827,1,1)&amp;MID(J827,2,3)+1),CELL("address",AB827))</f>
        <v>#VALUE!</v>
      </c>
      <c r="L827" s="98" t="e">
        <f ca="1">IF(G826&gt;=9,(MID(K827,1,1)&amp;MID(K827,2,3)+1),CELL("address",AC827))</f>
        <v>#VALUE!</v>
      </c>
      <c r="M827" s="98" t="e">
        <f ca="1">IF(G826&gt;=10,(MID(L827,1,1)&amp;MID(L827,2,3)+1),CELL("address",AD827))</f>
        <v>#VALUE!</v>
      </c>
      <c r="N827" s="98" t="e">
        <f ca="1">IF(G826&gt;=11,(MID(M827,1,1)&amp;MID(M827,2,3)+1),CELL("address",AE827))</f>
        <v>#VALUE!</v>
      </c>
      <c r="O827" s="98" t="e">
        <f ca="1">IF(G826&gt;=12,(MID(N827,1,1)&amp;MID(N827,2,3)+1),CELL("address",AF827))</f>
        <v>#VALUE!</v>
      </c>
    </row>
    <row r="828" spans="1:15" ht="15" customHeight="1">
      <c r="A828" s="267"/>
      <c r="B828" s="267"/>
      <c r="C828" s="268"/>
      <c r="D828" s="81" t="s">
        <v>60</v>
      </c>
      <c r="E828" s="58">
        <v>0.113</v>
      </c>
      <c r="F828" s="205"/>
      <c r="G828" s="92" t="str">
        <f>CONCATENATE(D828," - ",E828,", ")</f>
        <v>Transformer body scrap - 0.113, </v>
      </c>
      <c r="H828" s="98"/>
      <c r="I828" s="98"/>
      <c r="J828" s="98"/>
      <c r="K828" s="98"/>
      <c r="L828" s="98"/>
      <c r="M828" s="98"/>
      <c r="N828" s="98"/>
      <c r="O828" s="98"/>
    </row>
    <row r="829" spans="1:15" ht="15" customHeight="1">
      <c r="A829" s="267"/>
      <c r="B829" s="267"/>
      <c r="C829" s="268"/>
      <c r="D829" s="81" t="s">
        <v>198</v>
      </c>
      <c r="E829" s="58">
        <v>0.1</v>
      </c>
      <c r="F829" s="205"/>
      <c r="G829" s="92" t="str">
        <f>CONCATENATE(D829," - ",E829,", ")</f>
        <v>G.I. Scrap - 0.1, </v>
      </c>
      <c r="H829" s="98"/>
      <c r="I829" s="98"/>
      <c r="J829" s="98"/>
      <c r="K829" s="98"/>
      <c r="L829" s="98"/>
      <c r="M829" s="98"/>
      <c r="N829" s="98"/>
      <c r="O829" s="98"/>
    </row>
    <row r="830" spans="1:15" ht="15" customHeight="1">
      <c r="A830" s="39"/>
      <c r="B830" s="41"/>
      <c r="C830" s="48"/>
      <c r="D830" s="41"/>
      <c r="E830" s="58"/>
      <c r="F830" s="98"/>
      <c r="G830" s="98"/>
      <c r="H830" s="98"/>
      <c r="I830" s="98"/>
      <c r="J830" s="98"/>
      <c r="K830" s="98"/>
      <c r="L830" s="98"/>
      <c r="M830" s="98"/>
      <c r="N830" s="98"/>
      <c r="O830" s="98"/>
    </row>
    <row r="831" spans="1:15" ht="15" customHeight="1">
      <c r="A831" s="53"/>
      <c r="B831" s="54"/>
      <c r="C831" s="54"/>
      <c r="D831" s="56"/>
      <c r="E831" s="57">
        <f>SUM(E833:E842)</f>
        <v>7.211000000000001</v>
      </c>
      <c r="F831" s="98"/>
      <c r="G831" s="98"/>
      <c r="H831" s="98"/>
      <c r="I831" s="98"/>
      <c r="J831" s="98"/>
      <c r="K831" s="98"/>
      <c r="L831" s="98"/>
      <c r="M831" s="98"/>
      <c r="N831" s="98"/>
      <c r="O831" s="98"/>
    </row>
    <row r="832" spans="1:18" ht="15" customHeight="1">
      <c r="A832" s="288" t="s">
        <v>5</v>
      </c>
      <c r="B832" s="288"/>
      <c r="C832" s="70" t="s">
        <v>17</v>
      </c>
      <c r="D832" s="222" t="s">
        <v>18</v>
      </c>
      <c r="E832" s="39" t="s">
        <v>7</v>
      </c>
      <c r="F832" s="98"/>
      <c r="G832" s="93" t="str">
        <f>CONCATENATE("Misc. Iron Scrap, Lying at ",C833,". Quantity in MT - ")</f>
        <v>Misc. Iron Scrap, Lying at CS Patiala. Quantity in MT - </v>
      </c>
      <c r="H832" s="285" t="str">
        <f ca="1">CONCATENATE(G832,G833,(INDIRECT(I833)),(INDIRECT(J833)),(INDIRECT(K833)),(INDIRECT(L833)),(INDIRECT(M833)),(INDIRECT(N833)),(INDIRECT(O833)),(INDIRECT(P833)),(INDIRECT(Q833)),(INDIRECT(R833)),".")</f>
        <v>Misc. Iron Scrap, Lying at CS Patiala. Quantity in MT - Iron scrap of Bush fixings - 0.93, MS iron scrap - 3.337, MS Rail scrap - 0.11, M.S. Girder Scrap - 0.15, MS Nuts &amp; bolts scrap - 0.345, Cast Iron Scrap - 0.078, Transformer body scrap - 1.37, Teen Patra scrap - 0.752, G.I. scrap - 0.12, G.I. Wire/GSL scrap - 0.019, .</v>
      </c>
      <c r="I832" s="98" t="str">
        <f aca="true" ca="1" t="array" ref="I832">CELL("address",INDEX(G832:G850,MATCH(TRUE,ISBLANK(G832:G850),0)))</f>
        <v>$G$843</v>
      </c>
      <c r="J832" s="98">
        <f aca="true" t="array" ref="J832">MATCH(TRUE,ISBLANK(G832:G850),0)</f>
        <v>12</v>
      </c>
      <c r="K832" s="98">
        <f>J832-3</f>
        <v>9</v>
      </c>
      <c r="L832" s="98"/>
      <c r="M832" s="98"/>
      <c r="N832" s="98"/>
      <c r="O832" s="98"/>
      <c r="P832" s="98"/>
      <c r="Q832" s="98"/>
      <c r="R832" s="98"/>
    </row>
    <row r="833" spans="1:18" ht="15" customHeight="1">
      <c r="A833" s="267" t="s">
        <v>388</v>
      </c>
      <c r="B833" s="267"/>
      <c r="C833" s="268" t="s">
        <v>52</v>
      </c>
      <c r="D833" s="42" t="s">
        <v>393</v>
      </c>
      <c r="E833" s="69">
        <v>0.93</v>
      </c>
      <c r="F833" s="98"/>
      <c r="G833" s="92" t="str">
        <f aca="true" t="shared" si="4" ref="G833:G842">CONCATENATE(D833," - ",E833,", ")</f>
        <v>Iron scrap of Bush fixings - 0.93, </v>
      </c>
      <c r="H833" s="285"/>
      <c r="I833" s="98" t="str">
        <f ca="1">IF(J832&gt;=3,(MID(I832,2,1)&amp;MID(I832,4,3)-K832),CELL("address",Z833))</f>
        <v>G834</v>
      </c>
      <c r="J833" s="98" t="str">
        <f ca="1">IF(J832&gt;=4,(MID(I833,1,1)&amp;MID(I833,2,3)+1),CELL("address",AA833))</f>
        <v>G835</v>
      </c>
      <c r="K833" s="98" t="str">
        <f ca="1">IF(J832&gt;=5,(MID(J833,1,1)&amp;MID(J833,2,3)+1),CELL("address",AB833))</f>
        <v>G836</v>
      </c>
      <c r="L833" s="98" t="str">
        <f ca="1">IF(J832&gt;=6,(MID(K833,1,1)&amp;MID(K833,2,3)+1),CELL("address",AC833))</f>
        <v>G837</v>
      </c>
      <c r="M833" s="98" t="str">
        <f ca="1">IF(J832&gt;=7,(MID(L833,1,1)&amp;MID(L833,2,3)+1),CELL("address",AD833))</f>
        <v>G838</v>
      </c>
      <c r="N833" s="98" t="str">
        <f ca="1">IF(J832&gt;=8,(MID(M833,1,1)&amp;MID(M833,2,3)+1),CELL("address",AE833))</f>
        <v>G839</v>
      </c>
      <c r="O833" s="98" t="str">
        <f ca="1">IF(J832&gt;=9,(MID(N833,1,1)&amp;MID(N833,2,3)+1),CELL("address",AF833))</f>
        <v>G840</v>
      </c>
      <c r="P833" s="98" t="str">
        <f ca="1">IF(J832&gt;=10,(MID(O833,1,1)&amp;MID(O833,2,3)+1),CELL("address",AG833))</f>
        <v>G841</v>
      </c>
      <c r="Q833" s="98" t="str">
        <f ca="1">IF(J832&gt;=11,(MID(P833,1,1)&amp;MID(P833,2,3)+1),CELL("address",AH833))</f>
        <v>G842</v>
      </c>
      <c r="R833" s="98" t="str">
        <f ca="1">IF(J832&gt;=12,(MID(Q833,1,1)&amp;MID(Q833,2,3)+1),CELL("address",AI833))</f>
        <v>G843</v>
      </c>
    </row>
    <row r="834" spans="1:15" ht="15" customHeight="1">
      <c r="A834" s="267"/>
      <c r="B834" s="267"/>
      <c r="C834" s="268"/>
      <c r="D834" s="42" t="s">
        <v>29</v>
      </c>
      <c r="E834" s="58">
        <v>3.337</v>
      </c>
      <c r="F834" s="205"/>
      <c r="G834" s="92" t="str">
        <f t="shared" si="4"/>
        <v>MS iron scrap - 3.337, </v>
      </c>
      <c r="H834" s="98"/>
      <c r="I834" s="98"/>
      <c r="J834" s="98"/>
      <c r="K834" s="98"/>
      <c r="L834" s="98"/>
      <c r="M834" s="98"/>
      <c r="N834" s="98"/>
      <c r="O834" s="98"/>
    </row>
    <row r="835" spans="1:15" ht="15" customHeight="1">
      <c r="A835" s="267"/>
      <c r="B835" s="267"/>
      <c r="C835" s="268"/>
      <c r="D835" s="42" t="s">
        <v>61</v>
      </c>
      <c r="E835" s="58">
        <v>0.11</v>
      </c>
      <c r="F835" s="205"/>
      <c r="G835" s="92" t="str">
        <f t="shared" si="4"/>
        <v>MS Rail scrap - 0.11, </v>
      </c>
      <c r="H835" s="98"/>
      <c r="I835" s="98"/>
      <c r="J835" s="98"/>
      <c r="K835" s="98"/>
      <c r="L835" s="98"/>
      <c r="M835" s="98"/>
      <c r="N835" s="98"/>
      <c r="O835" s="98"/>
    </row>
    <row r="836" spans="1:15" ht="15" customHeight="1">
      <c r="A836" s="267"/>
      <c r="B836" s="267"/>
      <c r="C836" s="268"/>
      <c r="D836" s="81" t="s">
        <v>571</v>
      </c>
      <c r="E836" s="58">
        <v>0.15</v>
      </c>
      <c r="F836" s="205"/>
      <c r="G836" s="92" t="str">
        <f t="shared" si="4"/>
        <v>M.S. Girder Scrap - 0.15, </v>
      </c>
      <c r="H836" s="98"/>
      <c r="I836" s="98"/>
      <c r="J836" s="98"/>
      <c r="K836" s="98"/>
      <c r="L836" s="98"/>
      <c r="M836" s="98"/>
      <c r="N836" s="98"/>
      <c r="O836" s="98"/>
    </row>
    <row r="837" spans="1:15" ht="15" customHeight="1">
      <c r="A837" s="267"/>
      <c r="B837" s="267"/>
      <c r="C837" s="268"/>
      <c r="D837" s="81" t="s">
        <v>572</v>
      </c>
      <c r="E837" s="58">
        <v>0.345</v>
      </c>
      <c r="F837" s="205"/>
      <c r="G837" s="92" t="str">
        <f t="shared" si="4"/>
        <v>MS Nuts &amp; bolts scrap - 0.345, </v>
      </c>
      <c r="H837" s="98"/>
      <c r="I837" s="98"/>
      <c r="J837" s="98"/>
      <c r="K837" s="98"/>
      <c r="L837" s="98"/>
      <c r="M837" s="98"/>
      <c r="N837" s="98"/>
      <c r="O837" s="98"/>
    </row>
    <row r="838" spans="1:15" ht="15" customHeight="1">
      <c r="A838" s="267"/>
      <c r="B838" s="267"/>
      <c r="C838" s="268"/>
      <c r="D838" s="81" t="s">
        <v>573</v>
      </c>
      <c r="E838" s="58">
        <v>0.078</v>
      </c>
      <c r="F838" s="205"/>
      <c r="G838" s="92" t="str">
        <f t="shared" si="4"/>
        <v>Cast Iron Scrap - 0.078, </v>
      </c>
      <c r="H838" s="98"/>
      <c r="I838" s="98"/>
      <c r="J838" s="98"/>
      <c r="K838" s="98"/>
      <c r="L838" s="98"/>
      <c r="M838" s="98"/>
      <c r="N838" s="98"/>
      <c r="O838" s="98"/>
    </row>
    <row r="839" spans="1:15" ht="15" customHeight="1">
      <c r="A839" s="267"/>
      <c r="B839" s="267"/>
      <c r="C839" s="268"/>
      <c r="D839" s="81" t="s">
        <v>60</v>
      </c>
      <c r="E839" s="58">
        <v>1.37</v>
      </c>
      <c r="F839" s="205"/>
      <c r="G839" s="92" t="str">
        <f t="shared" si="4"/>
        <v>Transformer body scrap - 1.37, </v>
      </c>
      <c r="H839" s="98"/>
      <c r="I839" s="98"/>
      <c r="J839" s="98"/>
      <c r="K839" s="98"/>
      <c r="L839" s="98"/>
      <c r="M839" s="98"/>
      <c r="N839" s="98"/>
      <c r="O839" s="98"/>
    </row>
    <row r="840" spans="1:15" ht="15" customHeight="1">
      <c r="A840" s="267"/>
      <c r="B840" s="267"/>
      <c r="C840" s="268"/>
      <c r="D840" s="81" t="s">
        <v>64</v>
      </c>
      <c r="E840" s="58">
        <v>0.752</v>
      </c>
      <c r="F840" s="205"/>
      <c r="G840" s="92" t="str">
        <f t="shared" si="4"/>
        <v>Teen Patra scrap - 0.752, </v>
      </c>
      <c r="H840" s="98"/>
      <c r="I840" s="98" t="e">
        <f ca="1">IF(G839&gt;=6,(MID(H840,1,1)&amp;MID(H840,2,3)+1),CELL("address",Z840))</f>
        <v>#VALUE!</v>
      </c>
      <c r="J840" s="98" t="e">
        <f ca="1">IF(G839&gt;=7,(MID(I840,1,1)&amp;MID(I840,2,3)+1),CELL("address",AA840))</f>
        <v>#VALUE!</v>
      </c>
      <c r="K840" s="98" t="e">
        <f ca="1">IF(G839&gt;=8,(MID(J840,1,1)&amp;MID(J840,2,3)+1),CELL("address",AB840))</f>
        <v>#VALUE!</v>
      </c>
      <c r="L840" s="98" t="e">
        <f ca="1">IF(G839&gt;=9,(MID(K840,1,1)&amp;MID(K840,2,3)+1),CELL("address",AC840))</f>
        <v>#VALUE!</v>
      </c>
      <c r="M840" s="98" t="e">
        <f ca="1">IF(G839&gt;=10,(MID(L840,1,1)&amp;MID(L840,2,3)+1),CELL("address",AD840))</f>
        <v>#VALUE!</v>
      </c>
      <c r="N840" s="98" t="e">
        <f ca="1">IF(G839&gt;=11,(MID(M840,1,1)&amp;MID(M840,2,3)+1),CELL("address",AE840))</f>
        <v>#VALUE!</v>
      </c>
      <c r="O840" s="98" t="e">
        <f ca="1">IF(G839&gt;=12,(MID(N840,1,1)&amp;MID(N840,2,3)+1),CELL("address",AF840))</f>
        <v>#VALUE!</v>
      </c>
    </row>
    <row r="841" spans="1:15" ht="15" customHeight="1">
      <c r="A841" s="267"/>
      <c r="B841" s="267"/>
      <c r="C841" s="268"/>
      <c r="D841" s="81" t="s">
        <v>193</v>
      </c>
      <c r="E841" s="58">
        <v>0.12</v>
      </c>
      <c r="F841" s="205"/>
      <c r="G841" s="92" t="str">
        <f t="shared" si="4"/>
        <v>G.I. scrap - 0.12, </v>
      </c>
      <c r="H841" s="98"/>
      <c r="I841" s="98"/>
      <c r="J841" s="98"/>
      <c r="K841" s="98"/>
      <c r="L841" s="98"/>
      <c r="M841" s="98"/>
      <c r="N841" s="98"/>
      <c r="O841" s="98"/>
    </row>
    <row r="842" spans="1:15" ht="15" customHeight="1">
      <c r="A842" s="267"/>
      <c r="B842" s="267"/>
      <c r="C842" s="268"/>
      <c r="D842" s="81" t="s">
        <v>494</v>
      </c>
      <c r="E842" s="58">
        <v>0.019</v>
      </c>
      <c r="F842" s="205"/>
      <c r="G842" s="92" t="str">
        <f t="shared" si="4"/>
        <v>G.I. Wire/GSL scrap - 0.019, </v>
      </c>
      <c r="H842" s="98"/>
      <c r="I842" s="98"/>
      <c r="J842" s="98"/>
      <c r="K842" s="98"/>
      <c r="L842" s="98"/>
      <c r="M842" s="98"/>
      <c r="N842" s="98"/>
      <c r="O842" s="98"/>
    </row>
    <row r="843" spans="1:15" ht="15" customHeight="1">
      <c r="A843" s="39"/>
      <c r="B843" s="42"/>
      <c r="C843" s="240"/>
      <c r="D843" s="81"/>
      <c r="E843" s="58"/>
      <c r="F843" s="205"/>
      <c r="G843" s="212"/>
      <c r="H843" s="98"/>
      <c r="I843" s="98"/>
      <c r="J843" s="98"/>
      <c r="K843" s="98"/>
      <c r="L843" s="98"/>
      <c r="M843" s="98"/>
      <c r="N843" s="98"/>
      <c r="O843" s="98"/>
    </row>
    <row r="844" spans="1:15" ht="15" customHeight="1">
      <c r="A844" s="271"/>
      <c r="B844" s="272"/>
      <c r="C844" s="40"/>
      <c r="D844" s="56"/>
      <c r="E844" s="52">
        <f>SUM(E846:E849)</f>
        <v>7.513999999999999</v>
      </c>
      <c r="F844" s="98"/>
      <c r="G844" s="98"/>
      <c r="H844" s="98"/>
      <c r="I844" s="98"/>
      <c r="J844" s="98"/>
      <c r="K844" s="98"/>
      <c r="L844" s="98"/>
      <c r="M844" s="98"/>
      <c r="N844" s="98"/>
      <c r="O844" s="98"/>
    </row>
    <row r="845" spans="1:18" ht="15" customHeight="1">
      <c r="A845" s="267" t="s">
        <v>5</v>
      </c>
      <c r="B845" s="267"/>
      <c r="C845" s="40" t="s">
        <v>17</v>
      </c>
      <c r="D845" s="222" t="s">
        <v>18</v>
      </c>
      <c r="E845" s="39" t="s">
        <v>7</v>
      </c>
      <c r="F845" s="98"/>
      <c r="G845" s="93" t="str">
        <f>CONCATENATE("Misc. Iron Scrap, Lying at ",C846,". Quantity in MT - ")</f>
        <v>Misc. Iron Scrap, Lying at OL Malerkotla. Quantity in MT - </v>
      </c>
      <c r="H845" s="285" t="str">
        <f ca="1">CONCATENATE(G845,G846,(INDIRECT(I846)),(INDIRECT(J846)),(INDIRECT(K846)),(INDIRECT(L846)),(INDIRECT(M846)),(INDIRECT(N846)),(INDIRECT(O846)),(INDIRECT(P846)),(INDIRECT(Q846)),(INDIRECT(R846)),".")</f>
        <v>Misc. Iron Scrap, Lying at OL Malerkotla. Quantity in MT - MS iron scrap - 4.931, Transformer body scrap - 2.081, MS Rail scrap - 0.43, M.S. Nuts &amp; Bolts Scrap - 0.072, .</v>
      </c>
      <c r="I845" s="98" t="str">
        <f aca="true" ca="1" t="array" ref="I845">CELL("address",INDEX(G845:G863,MATCH(TRUE,ISBLANK(G845:G863),0)))</f>
        <v>$G$850</v>
      </c>
      <c r="J845" s="98">
        <f aca="true" t="array" ref="J845">MATCH(TRUE,ISBLANK(G845:G863),0)</f>
        <v>6</v>
      </c>
      <c r="K845" s="98">
        <f>J845-3</f>
        <v>3</v>
      </c>
      <c r="L845" s="98"/>
      <c r="M845" s="98"/>
      <c r="N845" s="98"/>
      <c r="O845" s="98"/>
      <c r="P845" s="98"/>
      <c r="Q845" s="98"/>
      <c r="R845" s="98"/>
    </row>
    <row r="846" spans="1:18" ht="15" customHeight="1">
      <c r="A846" s="267" t="s">
        <v>192</v>
      </c>
      <c r="B846" s="267"/>
      <c r="C846" s="268" t="s">
        <v>126</v>
      </c>
      <c r="D846" s="42" t="s">
        <v>29</v>
      </c>
      <c r="E846" s="69">
        <v>4.931</v>
      </c>
      <c r="F846" s="98"/>
      <c r="G846" s="92" t="str">
        <f>CONCATENATE(D846," - ",E846,", ")</f>
        <v>MS iron scrap - 4.931, </v>
      </c>
      <c r="H846" s="285"/>
      <c r="I846" s="98" t="str">
        <f ca="1">IF(J845&gt;=3,(MID(I845,2,1)&amp;MID(I845,4,3)-K845),CELL("address",Z846))</f>
        <v>G847</v>
      </c>
      <c r="J846" s="98" t="str">
        <f ca="1">IF(J845&gt;=4,(MID(I846,1,1)&amp;MID(I846,2,3)+1),CELL("address",AA846))</f>
        <v>G848</v>
      </c>
      <c r="K846" s="98" t="str">
        <f ca="1">IF(J845&gt;=5,(MID(J846,1,1)&amp;MID(J846,2,3)+1),CELL("address",AB846))</f>
        <v>G849</v>
      </c>
      <c r="L846" s="98" t="str">
        <f ca="1">IF(J845&gt;=6,(MID(K846,1,1)&amp;MID(K846,2,3)+1),CELL("address",AC846))</f>
        <v>G850</v>
      </c>
      <c r="M846" s="98" t="str">
        <f ca="1">IF(J845&gt;=7,(MID(L846,1,1)&amp;MID(L846,2,3)+1),CELL("address",AD846))</f>
        <v>$AD$846</v>
      </c>
      <c r="N846" s="98" t="str">
        <f ca="1">IF(J845&gt;=8,(MID(M846,1,1)&amp;MID(M846,2,3)+1),CELL("address",AE846))</f>
        <v>$AE$846</v>
      </c>
      <c r="O846" s="98" t="str">
        <f ca="1">IF(J845&gt;=9,(MID(N846,1,1)&amp;MID(N846,2,3)+1),CELL("address",AF846))</f>
        <v>$AF$846</v>
      </c>
      <c r="P846" s="98" t="str">
        <f ca="1">IF(J845&gt;=10,(MID(O846,1,1)&amp;MID(O846,2,3)+1),CELL("address",AG846))</f>
        <v>$AG$846</v>
      </c>
      <c r="Q846" s="98" t="str">
        <f ca="1">IF(J845&gt;=11,(MID(P846,1,1)&amp;MID(P846,2,3)+1),CELL("address",AH846))</f>
        <v>$AH$846</v>
      </c>
      <c r="R846" s="98" t="str">
        <f ca="1">IF(J845&gt;=12,(MID(Q846,1,1)&amp;MID(Q846,2,3)+1),CELL("address",AI846))</f>
        <v>$AI$846</v>
      </c>
    </row>
    <row r="847" spans="1:15" ht="15" customHeight="1">
      <c r="A847" s="267"/>
      <c r="B847" s="267"/>
      <c r="C847" s="268"/>
      <c r="D847" s="81" t="s">
        <v>60</v>
      </c>
      <c r="E847" s="69">
        <v>2.0809999999999995</v>
      </c>
      <c r="F847" s="98"/>
      <c r="G847" s="92" t="str">
        <f>CONCATENATE(D847," - ",E847,", ")</f>
        <v>Transformer body scrap - 2.081, </v>
      </c>
      <c r="H847" s="98"/>
      <c r="I847" s="98" t="e">
        <f ca="1">IF(G846&gt;=6,(MID(H847,1,1)&amp;MID(H847,2,3)+1),CELL("address",Z847))</f>
        <v>#VALUE!</v>
      </c>
      <c r="J847" s="98" t="e">
        <f ca="1">IF(G846&gt;=7,(MID(I847,1,1)&amp;MID(I847,2,3)+1),CELL("address",AA847))</f>
        <v>#VALUE!</v>
      </c>
      <c r="K847" s="98" t="e">
        <f ca="1">IF(G846&gt;=8,(MID(J847,1,1)&amp;MID(J847,2,3)+1),CELL("address",AB847))</f>
        <v>#VALUE!</v>
      </c>
      <c r="L847" s="98" t="e">
        <f ca="1">IF(G846&gt;=9,(MID(K847,1,1)&amp;MID(K847,2,3)+1),CELL("address",AC847))</f>
        <v>#VALUE!</v>
      </c>
      <c r="M847" s="98" t="e">
        <f ca="1">IF(G846&gt;=10,(MID(L847,1,1)&amp;MID(L847,2,3)+1),CELL("address",AD847))</f>
        <v>#VALUE!</v>
      </c>
      <c r="N847" s="98" t="e">
        <f ca="1">IF(G846&gt;=11,(MID(M847,1,1)&amp;MID(M847,2,3)+1),CELL("address",AE847))</f>
        <v>#VALUE!</v>
      </c>
      <c r="O847" s="98" t="e">
        <f ca="1">IF(G846&gt;=12,(MID(N847,1,1)&amp;MID(N847,2,3)+1),CELL("address",AF847))</f>
        <v>#VALUE!</v>
      </c>
    </row>
    <row r="848" spans="1:15" ht="15" customHeight="1">
      <c r="A848" s="267"/>
      <c r="B848" s="267"/>
      <c r="C848" s="268"/>
      <c r="D848" s="42" t="s">
        <v>61</v>
      </c>
      <c r="E848" s="58">
        <v>0.42999999999999994</v>
      </c>
      <c r="F848" s="98"/>
      <c r="G848" s="92" t="str">
        <f>CONCATENATE(D848," - ",E848,", ")</f>
        <v>MS Rail scrap - 0.43, </v>
      </c>
      <c r="H848" s="98"/>
      <c r="I848" s="98"/>
      <c r="J848" s="98"/>
      <c r="K848" s="98"/>
      <c r="L848" s="98"/>
      <c r="M848" s="98"/>
      <c r="N848" s="98"/>
      <c r="O848" s="98"/>
    </row>
    <row r="849" spans="1:15" ht="15" customHeight="1">
      <c r="A849" s="267"/>
      <c r="B849" s="267"/>
      <c r="C849" s="268"/>
      <c r="D849" s="81" t="s">
        <v>199</v>
      </c>
      <c r="E849" s="58">
        <v>0.072</v>
      </c>
      <c r="F849" s="98"/>
      <c r="G849" s="92" t="str">
        <f>CONCATENATE(D849," - ",E849,", ")</f>
        <v>M.S. Nuts &amp; Bolts Scrap - 0.072, </v>
      </c>
      <c r="H849" s="98"/>
      <c r="I849" s="98"/>
      <c r="J849" s="98"/>
      <c r="K849" s="98"/>
      <c r="L849" s="98"/>
      <c r="M849" s="98"/>
      <c r="N849" s="98"/>
      <c r="O849" s="98"/>
    </row>
    <row r="850" spans="1:15" ht="15" customHeight="1">
      <c r="A850" s="39"/>
      <c r="B850" s="41"/>
      <c r="C850" s="48"/>
      <c r="D850" s="38"/>
      <c r="E850" s="185"/>
      <c r="F850" s="98"/>
      <c r="G850" s="98"/>
      <c r="H850" s="98"/>
      <c r="I850" s="98"/>
      <c r="J850" s="98"/>
      <c r="K850" s="98"/>
      <c r="L850" s="98"/>
      <c r="M850" s="98"/>
      <c r="N850" s="98"/>
      <c r="O850" s="98"/>
    </row>
    <row r="851" spans="1:15" ht="15" customHeight="1">
      <c r="A851" s="53"/>
      <c r="B851" s="54"/>
      <c r="C851" s="54"/>
      <c r="D851" s="55"/>
      <c r="E851" s="168">
        <f>SUM(E853:E856)</f>
        <v>2.1209999999999996</v>
      </c>
      <c r="F851" s="98"/>
      <c r="G851" s="98"/>
      <c r="H851" s="98"/>
      <c r="I851" s="98"/>
      <c r="J851" s="98"/>
      <c r="K851" s="98"/>
      <c r="L851" s="98"/>
      <c r="M851" s="98"/>
      <c r="N851" s="98"/>
      <c r="O851" s="98"/>
    </row>
    <row r="852" spans="1:18" ht="15" customHeight="1">
      <c r="A852" s="267" t="s">
        <v>5</v>
      </c>
      <c r="B852" s="267"/>
      <c r="C852" s="40" t="s">
        <v>17</v>
      </c>
      <c r="D852" s="222" t="s">
        <v>18</v>
      </c>
      <c r="E852" s="39" t="s">
        <v>7</v>
      </c>
      <c r="F852" s="98"/>
      <c r="G852" s="93" t="str">
        <f>CONCATENATE("Misc. Iron Scrap, Lying at ",C853,". Quantity in MT - ")</f>
        <v>Misc. Iron Scrap, Lying at CS Malout. Quantity in MT - </v>
      </c>
      <c r="H852" s="285" t="str">
        <f ca="1">CONCATENATE(G852,G853,(INDIRECT(I853)),(INDIRECT(J853)),(INDIRECT(K853)),(INDIRECT(L853)),(INDIRECT(M853)),(INDIRECT(N853)),(INDIRECT(O853)),(INDIRECT(P853)),(INDIRECT(Q853)),(INDIRECT(R853)),".")</f>
        <v>Misc. Iron Scrap, Lying at CS Malout. Quantity in MT - MS iron scrap - 2.073, M.S. Nuts &amp; Bolts Scrap - 0.025, G.I. Scrap - 0.002, G.I. Wire/GSL scrap - 0.021, .</v>
      </c>
      <c r="I852" s="98" t="str">
        <f aca="true" ca="1" t="array" ref="I852">CELL("address",INDEX(G852:G870,MATCH(TRUE,ISBLANK(G852:G870),0)))</f>
        <v>$G$857</v>
      </c>
      <c r="J852" s="98">
        <f aca="true" t="array" ref="J852">MATCH(TRUE,ISBLANK(G852:G870),0)</f>
        <v>6</v>
      </c>
      <c r="K852" s="98">
        <f>J852-3</f>
        <v>3</v>
      </c>
      <c r="L852" s="98"/>
      <c r="M852" s="98"/>
      <c r="N852" s="98"/>
      <c r="O852" s="98"/>
      <c r="P852" s="98"/>
      <c r="Q852" s="98"/>
      <c r="R852" s="98"/>
    </row>
    <row r="853" spans="1:18" ht="15" customHeight="1">
      <c r="A853" s="267" t="s">
        <v>493</v>
      </c>
      <c r="B853" s="267"/>
      <c r="C853" s="268" t="s">
        <v>95</v>
      </c>
      <c r="D853" s="42" t="s">
        <v>29</v>
      </c>
      <c r="E853" s="69">
        <v>2.073</v>
      </c>
      <c r="F853" s="98"/>
      <c r="G853" s="92" t="str">
        <f>CONCATENATE(D853," - ",E853,", ")</f>
        <v>MS iron scrap - 2.073, </v>
      </c>
      <c r="H853" s="285"/>
      <c r="I853" s="98" t="str">
        <f ca="1">IF(J852&gt;=3,(MID(I852,2,1)&amp;MID(I852,4,3)-K852),CELL("address",Z853))</f>
        <v>G854</v>
      </c>
      <c r="J853" s="98" t="str">
        <f ca="1">IF(J852&gt;=4,(MID(I853,1,1)&amp;MID(I853,2,3)+1),CELL("address",AA853))</f>
        <v>G855</v>
      </c>
      <c r="K853" s="98" t="str">
        <f ca="1">IF(J852&gt;=5,(MID(J853,1,1)&amp;MID(J853,2,3)+1),CELL("address",AB853))</f>
        <v>G856</v>
      </c>
      <c r="L853" s="98" t="str">
        <f ca="1">IF(J852&gt;=6,(MID(K853,1,1)&amp;MID(K853,2,3)+1),CELL("address",AC853))</f>
        <v>G857</v>
      </c>
      <c r="M853" s="98" t="str">
        <f ca="1">IF(J852&gt;=7,(MID(L853,1,1)&amp;MID(L853,2,3)+1),CELL("address",AD853))</f>
        <v>$AD$853</v>
      </c>
      <c r="N853" s="98" t="str">
        <f ca="1">IF(J852&gt;=8,(MID(M853,1,1)&amp;MID(M853,2,3)+1),CELL("address",AE853))</f>
        <v>$AE$853</v>
      </c>
      <c r="O853" s="98" t="str">
        <f ca="1">IF(J852&gt;=9,(MID(N853,1,1)&amp;MID(N853,2,3)+1),CELL("address",AF853))</f>
        <v>$AF$853</v>
      </c>
      <c r="P853" s="98" t="str">
        <f ca="1">IF(J852&gt;=10,(MID(O853,1,1)&amp;MID(O853,2,3)+1),CELL("address",AG853))</f>
        <v>$AG$853</v>
      </c>
      <c r="Q853" s="98" t="str">
        <f ca="1">IF(J852&gt;=11,(MID(P853,1,1)&amp;MID(P853,2,3)+1),CELL("address",AH853))</f>
        <v>$AH$853</v>
      </c>
      <c r="R853" s="98" t="str">
        <f ca="1">IF(J852&gt;=12,(MID(Q853,1,1)&amp;MID(Q853,2,3)+1),CELL("address",AI853))</f>
        <v>$AI$853</v>
      </c>
    </row>
    <row r="854" spans="1:15" ht="15" customHeight="1">
      <c r="A854" s="267"/>
      <c r="B854" s="267"/>
      <c r="C854" s="268"/>
      <c r="D854" s="81" t="s">
        <v>199</v>
      </c>
      <c r="E854" s="69">
        <v>0.025</v>
      </c>
      <c r="F854" s="98"/>
      <c r="G854" s="92" t="str">
        <f>CONCATENATE(D854," - ",E854,", ")</f>
        <v>M.S. Nuts &amp; Bolts Scrap - 0.025, </v>
      </c>
      <c r="H854" s="98"/>
      <c r="I854" s="98"/>
      <c r="J854" s="98"/>
      <c r="K854" s="98"/>
      <c r="L854" s="98"/>
      <c r="M854" s="98"/>
      <c r="N854" s="98"/>
      <c r="O854" s="98"/>
    </row>
    <row r="855" spans="1:15" ht="15" customHeight="1">
      <c r="A855" s="267"/>
      <c r="B855" s="267"/>
      <c r="C855" s="268"/>
      <c r="D855" s="81" t="s">
        <v>198</v>
      </c>
      <c r="E855" s="58">
        <v>0.002</v>
      </c>
      <c r="F855" s="98"/>
      <c r="G855" s="92" t="str">
        <f>CONCATENATE(D855," - ",E855,", ")</f>
        <v>G.I. Scrap - 0.002, </v>
      </c>
      <c r="H855" s="98"/>
      <c r="I855" s="98"/>
      <c r="J855" s="98"/>
      <c r="K855" s="98"/>
      <c r="L855" s="98"/>
      <c r="M855" s="98"/>
      <c r="N855" s="98"/>
      <c r="O855" s="98"/>
    </row>
    <row r="856" spans="1:15" ht="15" customHeight="1">
      <c r="A856" s="267"/>
      <c r="B856" s="267"/>
      <c r="C856" s="268"/>
      <c r="D856" s="45" t="s">
        <v>494</v>
      </c>
      <c r="E856" s="58">
        <v>0.021</v>
      </c>
      <c r="F856" s="98"/>
      <c r="G856" s="92" t="str">
        <f>CONCATENATE(D856," - ",E856,", ")</f>
        <v>G.I. Wire/GSL scrap - 0.021, </v>
      </c>
      <c r="H856" s="98"/>
      <c r="I856" s="98"/>
      <c r="J856" s="98"/>
      <c r="K856" s="98"/>
      <c r="L856" s="98"/>
      <c r="M856" s="98"/>
      <c r="N856" s="98"/>
      <c r="O856" s="98"/>
    </row>
    <row r="857" spans="1:15" ht="15" customHeight="1">
      <c r="A857" s="39"/>
      <c r="B857" s="41"/>
      <c r="C857" s="48"/>
      <c r="D857" s="38"/>
      <c r="E857" s="185"/>
      <c r="F857" s="98"/>
      <c r="G857" s="98"/>
      <c r="H857" s="98"/>
      <c r="I857" s="98"/>
      <c r="J857" s="98"/>
      <c r="K857" s="98"/>
      <c r="L857" s="98"/>
      <c r="M857" s="98"/>
      <c r="N857" s="98"/>
      <c r="O857" s="98"/>
    </row>
    <row r="858" spans="1:15" ht="15" customHeight="1">
      <c r="A858" s="53"/>
      <c r="B858" s="54"/>
      <c r="C858" s="54"/>
      <c r="D858" s="55"/>
      <c r="E858" s="168">
        <f>SUM(E860:E863)</f>
        <v>2.7849999999999997</v>
      </c>
      <c r="F858" s="98"/>
      <c r="G858" s="98"/>
      <c r="H858" s="98"/>
      <c r="I858" s="98"/>
      <c r="J858" s="98"/>
      <c r="K858" s="98"/>
      <c r="L858" s="98"/>
      <c r="M858" s="98"/>
      <c r="N858" s="98"/>
      <c r="O858" s="98"/>
    </row>
    <row r="859" spans="1:18" ht="15" customHeight="1">
      <c r="A859" s="267" t="s">
        <v>5</v>
      </c>
      <c r="B859" s="267"/>
      <c r="C859" s="40" t="s">
        <v>17</v>
      </c>
      <c r="D859" s="222" t="s">
        <v>18</v>
      </c>
      <c r="E859" s="39" t="s">
        <v>7</v>
      </c>
      <c r="F859" s="98"/>
      <c r="G859" s="93" t="str">
        <f>CONCATENATE("Misc. Iron Scrap, Lying at ",C860,". Quantity in MT - ")</f>
        <v>Misc. Iron Scrap, Lying at CS Bathinda. Quantity in MT - </v>
      </c>
      <c r="H859" s="285" t="str">
        <f ca="1">CONCATENATE(G859,G860,(INDIRECT(I860)),(INDIRECT(J860)),(INDIRECT(K860)),(INDIRECT(L860)),(INDIRECT(M860)),(INDIRECT(N860)),(INDIRECT(O860)),(INDIRECT(P860)),(INDIRECT(Q860)),(INDIRECT(R860)),".")</f>
        <v>Misc. Iron Scrap, Lying at CS Bathinda. Quantity in MT - MS iron scrap - 1.912, MS Rail scrap - 0.8, Teen Patra scrap - 0.035, G.I. Scrap - 0.038, .</v>
      </c>
      <c r="I859" s="98" t="str">
        <f aca="true" ca="1" t="array" ref="I859">CELL("address",INDEX(G859:G877,MATCH(TRUE,ISBLANK(G859:G877),0)))</f>
        <v>$G$864</v>
      </c>
      <c r="J859" s="98">
        <f aca="true" t="array" ref="J859">MATCH(TRUE,ISBLANK(G859:G877),0)</f>
        <v>6</v>
      </c>
      <c r="K859" s="98">
        <f>J859-3</f>
        <v>3</v>
      </c>
      <c r="L859" s="98"/>
      <c r="M859" s="98"/>
      <c r="N859" s="98"/>
      <c r="O859" s="98"/>
      <c r="P859" s="98"/>
      <c r="Q859" s="98"/>
      <c r="R859" s="98"/>
    </row>
    <row r="860" spans="1:18" ht="15" customHeight="1">
      <c r="A860" s="267" t="s">
        <v>533</v>
      </c>
      <c r="B860" s="267"/>
      <c r="C860" s="268" t="s">
        <v>63</v>
      </c>
      <c r="D860" s="42" t="s">
        <v>29</v>
      </c>
      <c r="E860" s="69">
        <v>1.912</v>
      </c>
      <c r="F860" s="98"/>
      <c r="G860" s="92" t="str">
        <f>CONCATENATE(D860," - ",E860,", ")</f>
        <v>MS iron scrap - 1.912, </v>
      </c>
      <c r="H860" s="285"/>
      <c r="I860" s="98" t="str">
        <f ca="1">IF(J859&gt;=3,(MID(I859,2,1)&amp;MID(I859,4,3)-K859),CELL("address",Z860))</f>
        <v>G861</v>
      </c>
      <c r="J860" s="98" t="str">
        <f ca="1">IF(J859&gt;=4,(MID(I860,1,1)&amp;MID(I860,2,3)+1),CELL("address",AA860))</f>
        <v>G862</v>
      </c>
      <c r="K860" s="98" t="str">
        <f ca="1">IF(J859&gt;=5,(MID(J860,1,1)&amp;MID(J860,2,3)+1),CELL("address",AB860))</f>
        <v>G863</v>
      </c>
      <c r="L860" s="98" t="str">
        <f ca="1">IF(J859&gt;=6,(MID(K860,1,1)&amp;MID(K860,2,3)+1),CELL("address",AC860))</f>
        <v>G864</v>
      </c>
      <c r="M860" s="98" t="str">
        <f ca="1">IF(J859&gt;=7,(MID(L860,1,1)&amp;MID(L860,2,3)+1),CELL("address",AD860))</f>
        <v>$AD$860</v>
      </c>
      <c r="N860" s="98" t="str">
        <f ca="1">IF(J859&gt;=8,(MID(M860,1,1)&amp;MID(M860,2,3)+1),CELL("address",AE860))</f>
        <v>$AE$860</v>
      </c>
      <c r="O860" s="98" t="str">
        <f ca="1">IF(J859&gt;=9,(MID(N860,1,1)&amp;MID(N860,2,3)+1),CELL("address",AF860))</f>
        <v>$AF$860</v>
      </c>
      <c r="P860" s="98" t="str">
        <f ca="1">IF(J859&gt;=10,(MID(O860,1,1)&amp;MID(O860,2,3)+1),CELL("address",AG860))</f>
        <v>$AG$860</v>
      </c>
      <c r="Q860" s="98" t="str">
        <f ca="1">IF(J859&gt;=11,(MID(P860,1,1)&amp;MID(P860,2,3)+1),CELL("address",AH860))</f>
        <v>$AH$860</v>
      </c>
      <c r="R860" s="98" t="str">
        <f ca="1">IF(J859&gt;=12,(MID(Q860,1,1)&amp;MID(Q860,2,3)+1),CELL("address",AI860))</f>
        <v>$AI$860</v>
      </c>
    </row>
    <row r="861" spans="1:15" ht="15" customHeight="1">
      <c r="A861" s="267"/>
      <c r="B861" s="267"/>
      <c r="C861" s="268"/>
      <c r="D861" s="42" t="s">
        <v>61</v>
      </c>
      <c r="E861" s="69">
        <v>0.8</v>
      </c>
      <c r="F861" s="98"/>
      <c r="G861" s="92" t="str">
        <f>CONCATENATE(D861," - ",E861,", ")</f>
        <v>MS Rail scrap - 0.8, </v>
      </c>
      <c r="H861" s="98"/>
      <c r="I861" s="98" t="e">
        <f ca="1">IF(G860&gt;=6,(MID(H861,1,1)&amp;MID(H861,2,3)+1),CELL("address",Z861))</f>
        <v>#VALUE!</v>
      </c>
      <c r="J861" s="98" t="e">
        <f ca="1">IF(G860&gt;=7,(MID(I861,1,1)&amp;MID(I861,2,3)+1),CELL("address",AA861))</f>
        <v>#VALUE!</v>
      </c>
      <c r="K861" s="98" t="e">
        <f ca="1">IF(G860&gt;=8,(MID(J861,1,1)&amp;MID(J861,2,3)+1),CELL("address",AB861))</f>
        <v>#VALUE!</v>
      </c>
      <c r="L861" s="98" t="e">
        <f ca="1">IF(G860&gt;=9,(MID(K861,1,1)&amp;MID(K861,2,3)+1),CELL("address",AC861))</f>
        <v>#VALUE!</v>
      </c>
      <c r="M861" s="98" t="e">
        <f ca="1">IF(G860&gt;=10,(MID(L861,1,1)&amp;MID(L861,2,3)+1),CELL("address",AD861))</f>
        <v>#VALUE!</v>
      </c>
      <c r="N861" s="98" t="e">
        <f ca="1">IF(G860&gt;=11,(MID(M861,1,1)&amp;MID(M861,2,3)+1),CELL("address",AE861))</f>
        <v>#VALUE!</v>
      </c>
      <c r="O861" s="98" t="e">
        <f ca="1">IF(G860&gt;=12,(MID(N861,1,1)&amp;MID(N861,2,3)+1),CELL("address",AF861))</f>
        <v>#VALUE!</v>
      </c>
    </row>
    <row r="862" spans="1:15" ht="15" customHeight="1">
      <c r="A862" s="267"/>
      <c r="B862" s="267"/>
      <c r="C862" s="268"/>
      <c r="D862" s="45" t="s">
        <v>64</v>
      </c>
      <c r="E862" s="58">
        <v>0.035</v>
      </c>
      <c r="F862" s="98"/>
      <c r="G862" s="92" t="str">
        <f>CONCATENATE(D862," - ",E862,", ")</f>
        <v>Teen Patra scrap - 0.035, </v>
      </c>
      <c r="H862" s="98"/>
      <c r="I862" s="98"/>
      <c r="J862" s="98"/>
      <c r="K862" s="98"/>
      <c r="L862" s="98"/>
      <c r="M862" s="98"/>
      <c r="N862" s="98"/>
      <c r="O862" s="98"/>
    </row>
    <row r="863" spans="1:15" ht="15" customHeight="1">
      <c r="A863" s="267"/>
      <c r="B863" s="267"/>
      <c r="C863" s="268"/>
      <c r="D863" s="81" t="s">
        <v>198</v>
      </c>
      <c r="E863" s="58">
        <v>0.038</v>
      </c>
      <c r="F863" s="98"/>
      <c r="G863" s="92" t="str">
        <f>CONCATENATE(D863," - ",E863,", ")</f>
        <v>G.I. Scrap - 0.038, </v>
      </c>
      <c r="H863" s="98"/>
      <c r="I863" s="98"/>
      <c r="J863" s="98"/>
      <c r="K863" s="98"/>
      <c r="L863" s="98"/>
      <c r="M863" s="98"/>
      <c r="N863" s="98"/>
      <c r="O863" s="98"/>
    </row>
    <row r="864" spans="1:15" ht="15" customHeight="1">
      <c r="A864" s="39"/>
      <c r="B864" s="41"/>
      <c r="C864" s="48"/>
      <c r="D864" s="38"/>
      <c r="E864" s="185"/>
      <c r="F864" s="98"/>
      <c r="G864" s="98"/>
      <c r="H864" s="98"/>
      <c r="I864" s="98"/>
      <c r="J864" s="98"/>
      <c r="K864" s="98"/>
      <c r="L864" s="98"/>
      <c r="M864" s="98"/>
      <c r="N864" s="98"/>
      <c r="O864" s="98"/>
    </row>
    <row r="865" spans="1:15" ht="15" customHeight="1">
      <c r="A865" s="53"/>
      <c r="B865" s="54"/>
      <c r="C865" s="54"/>
      <c r="D865" s="56"/>
      <c r="E865" s="52">
        <f>SUM(E867:E868)</f>
        <v>0.7769999999999999</v>
      </c>
      <c r="F865" s="98"/>
      <c r="G865" s="98"/>
      <c r="H865" s="98"/>
      <c r="I865" s="98"/>
      <c r="J865" s="98"/>
      <c r="K865" s="98"/>
      <c r="L865" s="98"/>
      <c r="M865" s="98"/>
      <c r="N865" s="98"/>
      <c r="O865" s="98"/>
    </row>
    <row r="866" spans="1:18" ht="15" customHeight="1">
      <c r="A866" s="283" t="s">
        <v>5</v>
      </c>
      <c r="B866" s="283"/>
      <c r="C866" s="23" t="s">
        <v>17</v>
      </c>
      <c r="D866" s="72" t="s">
        <v>18</v>
      </c>
      <c r="E866" s="23" t="s">
        <v>7</v>
      </c>
      <c r="F866" s="98"/>
      <c r="G866" s="93" t="str">
        <f>CONCATENATE("Misc. Iron Scrap, Lying at ",C867,". Quantity in MT - ")</f>
        <v>Misc. Iron Scrap, Lying at OL Moga. Quantity in MT - </v>
      </c>
      <c r="H866" s="285" t="str">
        <f ca="1">CONCATENATE(G866,G867,(INDIRECT(I867)),(INDIRECT(J867)),(INDIRECT(K867)),(INDIRECT(L867)),(INDIRECT(M867)),(INDIRECT(N867)),(INDIRECT(O867)),(INDIRECT(P867)),(INDIRECT(Q867)),(INDIRECT(R867)),".")</f>
        <v>Misc. Iron Scrap, Lying at OL Moga. Quantity in MT - MS iron scrap - 0.697, Transformer body scrap - 0.08, .</v>
      </c>
      <c r="I866" s="98" t="str">
        <f aca="true" ca="1" t="array" ref="I866">CELL("address",INDEX(G866:G884,MATCH(TRUE,ISBLANK(G866:G884),0)))</f>
        <v>$G$869</v>
      </c>
      <c r="J866" s="98">
        <f aca="true" t="array" ref="J866">MATCH(TRUE,ISBLANK(G866:G884),0)</f>
        <v>4</v>
      </c>
      <c r="K866" s="98">
        <f>J866-3</f>
        <v>1</v>
      </c>
      <c r="L866" s="98"/>
      <c r="M866" s="98"/>
      <c r="N866" s="98"/>
      <c r="O866" s="98"/>
      <c r="P866" s="98"/>
      <c r="Q866" s="98"/>
      <c r="R866" s="98"/>
    </row>
    <row r="867" spans="1:18" ht="15" customHeight="1">
      <c r="A867" s="267" t="s">
        <v>534</v>
      </c>
      <c r="B867" s="267"/>
      <c r="C867" s="268" t="s">
        <v>270</v>
      </c>
      <c r="D867" s="42" t="s">
        <v>29</v>
      </c>
      <c r="E867" s="46">
        <v>0.697</v>
      </c>
      <c r="F867" s="98"/>
      <c r="G867" s="92" t="str">
        <f>CONCATENATE(D867," - ",E867,", ")</f>
        <v>MS iron scrap - 0.697, </v>
      </c>
      <c r="H867" s="285"/>
      <c r="I867" s="98" t="str">
        <f ca="1">IF(J866&gt;=3,(MID(I866,2,1)&amp;MID(I866,4,3)-K866),CELL("address",Z867))</f>
        <v>G868</v>
      </c>
      <c r="J867" s="98" t="str">
        <f ca="1">IF(J866&gt;=4,(MID(I867,1,1)&amp;MID(I867,2,3)+1),CELL("address",AA867))</f>
        <v>G869</v>
      </c>
      <c r="K867" s="98" t="str">
        <f ca="1">IF(J866&gt;=5,(MID(J867,1,1)&amp;MID(J867,2,3)+1),CELL("address",AB867))</f>
        <v>$AB$867</v>
      </c>
      <c r="L867" s="98" t="str">
        <f ca="1">IF(J866&gt;=6,(MID(K867,1,1)&amp;MID(K867,2,3)+1),CELL("address",AC867))</f>
        <v>$AC$867</v>
      </c>
      <c r="M867" s="98" t="str">
        <f ca="1">IF(J866&gt;=7,(MID(L867,1,1)&amp;MID(L867,2,3)+1),CELL("address",AD867))</f>
        <v>$AD$867</v>
      </c>
      <c r="N867" s="98" t="str">
        <f ca="1">IF(J866&gt;=8,(MID(M867,1,1)&amp;MID(M867,2,3)+1),CELL("address",AE867))</f>
        <v>$AE$867</v>
      </c>
      <c r="O867" s="98" t="str">
        <f ca="1">IF(J866&gt;=9,(MID(N867,1,1)&amp;MID(N867,2,3)+1),CELL("address",AF867))</f>
        <v>$AF$867</v>
      </c>
      <c r="P867" s="98" t="str">
        <f ca="1">IF(J866&gt;=10,(MID(O867,1,1)&amp;MID(O867,2,3)+1),CELL("address",AG867))</f>
        <v>$AG$867</v>
      </c>
      <c r="Q867" s="98" t="str">
        <f ca="1">IF(J866&gt;=11,(MID(P867,1,1)&amp;MID(P867,2,3)+1),CELL("address",AH867))</f>
        <v>$AH$867</v>
      </c>
      <c r="R867" s="98" t="str">
        <f ca="1">IF(J866&gt;=12,(MID(Q867,1,1)&amp;MID(Q867,2,3)+1),CELL("address",AI867))</f>
        <v>$AI$867</v>
      </c>
    </row>
    <row r="868" spans="1:15" ht="15" customHeight="1">
      <c r="A868" s="267"/>
      <c r="B868" s="267"/>
      <c r="C868" s="268"/>
      <c r="D868" s="81" t="s">
        <v>60</v>
      </c>
      <c r="E868" s="46">
        <v>0.08</v>
      </c>
      <c r="F868" s="98"/>
      <c r="G868" s="92" t="str">
        <f>CONCATENATE(D868," - ",E868,", ")</f>
        <v>Transformer body scrap - 0.08, </v>
      </c>
      <c r="H868" s="98"/>
      <c r="I868" s="98"/>
      <c r="J868" s="98"/>
      <c r="K868" s="98"/>
      <c r="L868" s="98"/>
      <c r="M868" s="98"/>
      <c r="N868" s="98"/>
      <c r="O868" s="98"/>
    </row>
    <row r="869" spans="1:15" ht="15" customHeight="1">
      <c r="A869" s="39"/>
      <c r="B869" s="41"/>
      <c r="C869" s="48"/>
      <c r="D869" s="38"/>
      <c r="E869" s="185"/>
      <c r="F869" s="98"/>
      <c r="G869" s="98"/>
      <c r="H869" s="98"/>
      <c r="I869" s="98"/>
      <c r="J869" s="98"/>
      <c r="K869" s="98"/>
      <c r="L869" s="98"/>
      <c r="M869" s="98"/>
      <c r="N869" s="98"/>
      <c r="O869" s="98"/>
    </row>
    <row r="870" spans="1:15" ht="15" customHeight="1">
      <c r="A870" s="53"/>
      <c r="B870" s="54"/>
      <c r="C870" s="54"/>
      <c r="D870" s="55"/>
      <c r="E870" s="168">
        <f>SUM(E872:E873)</f>
        <v>1.035</v>
      </c>
      <c r="F870" s="98"/>
      <c r="G870" s="98"/>
      <c r="H870" s="98"/>
      <c r="I870" s="98"/>
      <c r="J870" s="98"/>
      <c r="K870" s="98"/>
      <c r="L870" s="98"/>
      <c r="M870" s="98"/>
      <c r="N870" s="98"/>
      <c r="O870" s="98"/>
    </row>
    <row r="871" spans="1:18" ht="15" customHeight="1">
      <c r="A871" s="267" t="s">
        <v>5</v>
      </c>
      <c r="B871" s="267"/>
      <c r="C871" s="40" t="s">
        <v>17</v>
      </c>
      <c r="D871" s="222" t="s">
        <v>18</v>
      </c>
      <c r="E871" s="39" t="s">
        <v>7</v>
      </c>
      <c r="F871" s="98"/>
      <c r="G871" s="93" t="str">
        <f>CONCATENATE("Misc. Iron Scrap, Lying at ",C872,". Quantity in MT - ")</f>
        <v>Misc. Iron Scrap, Lying at OL Patran. Quantity in MT - </v>
      </c>
      <c r="H871" s="285" t="str">
        <f ca="1">CONCATENATE(G871,G872,(INDIRECT(I872)),(INDIRECT(J872)),(INDIRECT(K872)),(INDIRECT(L872)),(INDIRECT(M872)),(INDIRECT(N872)),(INDIRECT(O872)),(INDIRECT(P872)),(INDIRECT(Q872)),(INDIRECT(R872)),".")</f>
        <v>Misc. Iron Scrap, Lying at OL Patran. Quantity in MT - MS iron scrap - 1.005, Teen Patra scrap - 0.03, .</v>
      </c>
      <c r="I871" s="98" t="str">
        <f aca="true" ca="1" t="array" ref="I871">CELL("address",INDEX(G871:G897,MATCH(TRUE,ISBLANK(G871:G897),0)))</f>
        <v>$G$874</v>
      </c>
      <c r="J871" s="98">
        <f aca="true" t="array" ref="J871">MATCH(TRUE,ISBLANK(G871:G897),0)</f>
        <v>4</v>
      </c>
      <c r="K871" s="98">
        <f>J871-3</f>
        <v>1</v>
      </c>
      <c r="L871" s="98"/>
      <c r="M871" s="98"/>
      <c r="N871" s="98"/>
      <c r="O871" s="98"/>
      <c r="P871" s="98"/>
      <c r="Q871" s="98"/>
      <c r="R871" s="98"/>
    </row>
    <row r="872" spans="1:18" ht="15" customHeight="1">
      <c r="A872" s="267" t="s">
        <v>539</v>
      </c>
      <c r="B872" s="267"/>
      <c r="C872" s="268" t="s">
        <v>102</v>
      </c>
      <c r="D872" s="42" t="s">
        <v>29</v>
      </c>
      <c r="E872" s="69">
        <v>1.005</v>
      </c>
      <c r="F872" s="98"/>
      <c r="G872" s="92" t="str">
        <f>CONCATENATE(D872," - ",E872,", ")</f>
        <v>MS iron scrap - 1.005, </v>
      </c>
      <c r="H872" s="285"/>
      <c r="I872" s="98" t="str">
        <f ca="1">IF(J871&gt;=3,(MID(I871,2,1)&amp;MID(I871,4,3)-K871),CELL("address",Z872))</f>
        <v>G873</v>
      </c>
      <c r="J872" s="98" t="str">
        <f ca="1">IF(J871&gt;=4,(MID(I872,1,1)&amp;MID(I872,2,3)+1),CELL("address",AA872))</f>
        <v>G874</v>
      </c>
      <c r="K872" s="98" t="str">
        <f ca="1">IF(J871&gt;=5,(MID(J872,1,1)&amp;MID(J872,2,3)+1),CELL("address",AB872))</f>
        <v>$AB$872</v>
      </c>
      <c r="L872" s="98" t="str">
        <f ca="1">IF(J871&gt;=6,(MID(K872,1,1)&amp;MID(K872,2,3)+1),CELL("address",AC872))</f>
        <v>$AC$872</v>
      </c>
      <c r="M872" s="98" t="str">
        <f ca="1">IF(J871&gt;=7,(MID(L872,1,1)&amp;MID(L872,2,3)+1),CELL("address",AD872))</f>
        <v>$AD$872</v>
      </c>
      <c r="N872" s="98" t="str">
        <f ca="1">IF(J871&gt;=8,(MID(M872,1,1)&amp;MID(M872,2,3)+1),CELL("address",AE872))</f>
        <v>$AE$872</v>
      </c>
      <c r="O872" s="98" t="str">
        <f ca="1">IF(J871&gt;=9,(MID(N872,1,1)&amp;MID(N872,2,3)+1),CELL("address",AF872))</f>
        <v>$AF$872</v>
      </c>
      <c r="P872" s="98" t="str">
        <f ca="1">IF(J871&gt;=10,(MID(O872,1,1)&amp;MID(O872,2,3)+1),CELL("address",AG872))</f>
        <v>$AG$872</v>
      </c>
      <c r="Q872" s="98" t="str">
        <f ca="1">IF(J871&gt;=11,(MID(P872,1,1)&amp;MID(P872,2,3)+1),CELL("address",AH872))</f>
        <v>$AH$872</v>
      </c>
      <c r="R872" s="98" t="str">
        <f ca="1">IF(J871&gt;=12,(MID(Q872,1,1)&amp;MID(Q872,2,3)+1),CELL("address",AI872))</f>
        <v>$AI$872</v>
      </c>
    </row>
    <row r="873" spans="1:15" ht="15" customHeight="1">
      <c r="A873" s="267"/>
      <c r="B873" s="267"/>
      <c r="C873" s="268"/>
      <c r="D873" s="45" t="s">
        <v>64</v>
      </c>
      <c r="E873" s="69">
        <v>0.03</v>
      </c>
      <c r="F873" s="98"/>
      <c r="G873" s="92" t="str">
        <f>CONCATENATE(D873," - ",E873,", ")</f>
        <v>Teen Patra scrap - 0.03, </v>
      </c>
      <c r="H873" s="98"/>
      <c r="I873" s="98"/>
      <c r="J873" s="98"/>
      <c r="K873" s="98"/>
      <c r="L873" s="98"/>
      <c r="M873" s="98"/>
      <c r="N873" s="98"/>
      <c r="O873" s="98"/>
    </row>
    <row r="874" spans="1:15" ht="15" customHeight="1">
      <c r="A874" s="39"/>
      <c r="B874" s="41"/>
      <c r="C874" s="48"/>
      <c r="D874" s="200"/>
      <c r="E874" s="58"/>
      <c r="F874" s="98"/>
      <c r="G874" s="98"/>
      <c r="H874" s="98"/>
      <c r="I874" s="98"/>
      <c r="J874" s="98"/>
      <c r="K874" s="98"/>
      <c r="L874" s="98"/>
      <c r="M874" s="98"/>
      <c r="N874" s="98"/>
      <c r="O874" s="98"/>
    </row>
    <row r="875" spans="1:15" ht="15" customHeight="1">
      <c r="A875" s="53"/>
      <c r="B875" s="54"/>
      <c r="C875" s="54"/>
      <c r="D875" s="55"/>
      <c r="E875" s="168">
        <f>SUM(E877:E880)</f>
        <v>3.057</v>
      </c>
      <c r="F875" s="98"/>
      <c r="G875" s="98"/>
      <c r="H875" s="98"/>
      <c r="I875" s="98"/>
      <c r="J875" s="98"/>
      <c r="K875" s="98"/>
      <c r="L875" s="98"/>
      <c r="M875" s="98"/>
      <c r="N875" s="98"/>
      <c r="O875" s="98"/>
    </row>
    <row r="876" spans="1:18" ht="15" customHeight="1">
      <c r="A876" s="267" t="s">
        <v>5</v>
      </c>
      <c r="B876" s="267"/>
      <c r="C876" s="40" t="s">
        <v>17</v>
      </c>
      <c r="D876" s="222" t="s">
        <v>18</v>
      </c>
      <c r="E876" s="39" t="s">
        <v>7</v>
      </c>
      <c r="F876" s="98"/>
      <c r="G876" s="93" t="str">
        <f>CONCATENATE("Misc. Iron Scrap, Lying at ",C877,". Quantity in MT - ")</f>
        <v>Misc. Iron Scrap, Lying at OL Ropar. Quantity in MT - </v>
      </c>
      <c r="H876" s="285" t="str">
        <f ca="1">CONCATENATE(G876,G877,(INDIRECT(I877)),(INDIRECT(J877)),(INDIRECT(K877)),(INDIRECT(L877)),(INDIRECT(M877)),(INDIRECT(N877)),(INDIRECT(O877)),(INDIRECT(P877)),(INDIRECT(Q877)),(INDIRECT(R877)),".")</f>
        <v>Misc. Iron Scrap, Lying at OL Ropar. Quantity in MT - MS iron scrap - 1.384, MS Rail scrap - 0.177, Transformer body scrap - 1.409, G.I. Scrap - 0.087, .</v>
      </c>
      <c r="I876" s="98" t="str">
        <f aca="true" ca="1" t="array" ref="I876">CELL("address",INDEX(G876:G902,MATCH(TRUE,ISBLANK(G876:G902),0)))</f>
        <v>$G$881</v>
      </c>
      <c r="J876" s="98">
        <f aca="true" t="array" ref="J876">MATCH(TRUE,ISBLANK(G876:G902),0)</f>
        <v>6</v>
      </c>
      <c r="K876" s="98">
        <f>J876-3</f>
        <v>3</v>
      </c>
      <c r="L876" s="98"/>
      <c r="M876" s="98"/>
      <c r="N876" s="98"/>
      <c r="O876" s="98"/>
      <c r="P876" s="98"/>
      <c r="Q876" s="98"/>
      <c r="R876" s="98"/>
    </row>
    <row r="877" spans="1:18" ht="15" customHeight="1">
      <c r="A877" s="267" t="s">
        <v>540</v>
      </c>
      <c r="B877" s="267"/>
      <c r="C877" s="268" t="s">
        <v>98</v>
      </c>
      <c r="D877" s="42" t="s">
        <v>29</v>
      </c>
      <c r="E877" s="69">
        <v>1.384</v>
      </c>
      <c r="F877" s="205"/>
      <c r="G877" s="92" t="str">
        <f>CONCATENATE(D877," - ",E877,", ")</f>
        <v>MS iron scrap - 1.384, </v>
      </c>
      <c r="H877" s="285"/>
      <c r="I877" s="98" t="str">
        <f ca="1">IF(J876&gt;=3,(MID(I876,2,1)&amp;MID(I876,4,3)-K876),CELL("address",Z877))</f>
        <v>G878</v>
      </c>
      <c r="J877" s="98" t="str">
        <f ca="1">IF(J876&gt;=4,(MID(I877,1,1)&amp;MID(I877,2,3)+1),CELL("address",AA877))</f>
        <v>G879</v>
      </c>
      <c r="K877" s="98" t="str">
        <f ca="1">IF(J876&gt;=5,(MID(J877,1,1)&amp;MID(J877,2,3)+1),CELL("address",AB877))</f>
        <v>G880</v>
      </c>
      <c r="L877" s="98" t="str">
        <f ca="1">IF(J876&gt;=6,(MID(K877,1,1)&amp;MID(K877,2,3)+1),CELL("address",AC877))</f>
        <v>G881</v>
      </c>
      <c r="M877" s="98" t="str">
        <f ca="1">IF(J876&gt;=7,(MID(L877,1,1)&amp;MID(L877,2,3)+1),CELL("address",AD877))</f>
        <v>$AD$877</v>
      </c>
      <c r="N877" s="98" t="str">
        <f ca="1">IF(J876&gt;=8,(MID(M877,1,1)&amp;MID(M877,2,3)+1),CELL("address",AE877))</f>
        <v>$AE$877</v>
      </c>
      <c r="O877" s="98" t="str">
        <f ca="1">IF(J876&gt;=9,(MID(N877,1,1)&amp;MID(N877,2,3)+1),CELL("address",AF877))</f>
        <v>$AF$877</v>
      </c>
      <c r="P877" s="98" t="str">
        <f ca="1">IF(J876&gt;=10,(MID(O877,1,1)&amp;MID(O877,2,3)+1),CELL("address",AG877))</f>
        <v>$AG$877</v>
      </c>
      <c r="Q877" s="98" t="str">
        <f ca="1">IF(J876&gt;=11,(MID(P877,1,1)&amp;MID(P877,2,3)+1),CELL("address",AH877))</f>
        <v>$AH$877</v>
      </c>
      <c r="R877" s="98" t="str">
        <f ca="1">IF(J876&gt;=12,(MID(Q877,1,1)&amp;MID(Q877,2,3)+1),CELL("address",AI877))</f>
        <v>$AI$877</v>
      </c>
    </row>
    <row r="878" spans="1:15" ht="15" customHeight="1">
      <c r="A878" s="267"/>
      <c r="B878" s="267"/>
      <c r="C878" s="268"/>
      <c r="D878" s="42" t="s">
        <v>61</v>
      </c>
      <c r="E878" s="69">
        <v>0.177</v>
      </c>
      <c r="F878" s="205"/>
      <c r="G878" s="92" t="str">
        <f>CONCATENATE(D878," - ",E878,", ")</f>
        <v>MS Rail scrap - 0.177, </v>
      </c>
      <c r="H878" s="98"/>
      <c r="I878" s="98"/>
      <c r="J878" s="98"/>
      <c r="K878" s="98"/>
      <c r="L878" s="98"/>
      <c r="M878" s="98"/>
      <c r="N878" s="98"/>
      <c r="O878" s="98"/>
    </row>
    <row r="879" spans="1:15" ht="15" customHeight="1">
      <c r="A879" s="267"/>
      <c r="B879" s="267"/>
      <c r="C879" s="268"/>
      <c r="D879" s="81" t="s">
        <v>60</v>
      </c>
      <c r="E879" s="58">
        <v>1.409</v>
      </c>
      <c r="F879" s="205"/>
      <c r="G879" s="92" t="str">
        <f>CONCATENATE(D879," - ",E879,", ")</f>
        <v>Transformer body scrap - 1.409, </v>
      </c>
      <c r="H879" s="98"/>
      <c r="I879" s="98"/>
      <c r="J879" s="98"/>
      <c r="K879" s="98"/>
      <c r="L879" s="98"/>
      <c r="M879" s="98"/>
      <c r="N879" s="98"/>
      <c r="O879" s="98"/>
    </row>
    <row r="880" spans="1:15" ht="15" customHeight="1">
      <c r="A880" s="267"/>
      <c r="B880" s="267"/>
      <c r="C880" s="268"/>
      <c r="D880" s="81" t="s">
        <v>198</v>
      </c>
      <c r="E880" s="58">
        <v>0.087</v>
      </c>
      <c r="F880" s="205"/>
      <c r="G880" s="92" t="str">
        <f>CONCATENATE(D880," - ",E880,", ")</f>
        <v>G.I. Scrap - 0.087, </v>
      </c>
      <c r="H880" s="98"/>
      <c r="I880" s="98"/>
      <c r="J880" s="98"/>
      <c r="K880" s="98"/>
      <c r="L880" s="98"/>
      <c r="M880" s="98"/>
      <c r="N880" s="98"/>
      <c r="O880" s="98"/>
    </row>
    <row r="881" spans="1:15" ht="15" customHeight="1">
      <c r="A881" s="39"/>
      <c r="B881" s="41"/>
      <c r="C881" s="48"/>
      <c r="D881" s="38"/>
      <c r="E881" s="185"/>
      <c r="F881" s="98"/>
      <c r="G881" s="98"/>
      <c r="H881" s="98"/>
      <c r="I881" s="98"/>
      <c r="J881" s="98"/>
      <c r="K881" s="98"/>
      <c r="L881" s="98"/>
      <c r="M881" s="98"/>
      <c r="N881" s="98"/>
      <c r="O881" s="98"/>
    </row>
    <row r="882" spans="1:8" ht="18.75" customHeight="1">
      <c r="A882" s="53"/>
      <c r="B882" s="54"/>
      <c r="C882" s="54"/>
      <c r="D882" s="55"/>
      <c r="E882" s="168">
        <f>SUM(E884:E886)</f>
        <v>2.501</v>
      </c>
      <c r="H882" s="1"/>
    </row>
    <row r="883" spans="1:18" ht="15" customHeight="1">
      <c r="A883" s="267" t="s">
        <v>5</v>
      </c>
      <c r="B883" s="267"/>
      <c r="C883" s="40" t="s">
        <v>17</v>
      </c>
      <c r="D883" s="222" t="s">
        <v>18</v>
      </c>
      <c r="E883" s="39" t="s">
        <v>7</v>
      </c>
      <c r="G883" s="93" t="str">
        <f>CONCATENATE("Misc. Iron Scrap, Lying at ",C884,". Quantity in MT - ")</f>
        <v>Misc. Iron Scrap, Lying at OL Nabha. Quantity in MT - </v>
      </c>
      <c r="H883" s="285" t="str">
        <f ca="1">CONCATENATE(G883,G884,(INDIRECT(I884)),(INDIRECT(J884)),(INDIRECT(K884)),(INDIRECT(L884)),(INDIRECT(M884)),(INDIRECT(N884)),(INDIRECT(O884)),(INDIRECT(P884)),(INDIRECT(Q884)),(INDIRECT(R884)),".")</f>
        <v>Misc. Iron Scrap, Lying at OL Nabha. Quantity in MT - MS iron scrap - 1.675, Transformer body scrap - 0.559, Lamination scrap - 0.267, .</v>
      </c>
      <c r="I883" s="98" t="str">
        <f aca="true" ca="1" t="array" ref="I883">CELL("address",INDEX(G883:G909,MATCH(TRUE,ISBLANK(G883:G909),0)))</f>
        <v>$G$887</v>
      </c>
      <c r="J883" s="98">
        <f aca="true" t="array" ref="J883">MATCH(TRUE,ISBLANK(G883:G909),0)</f>
        <v>5</v>
      </c>
      <c r="K883" s="98">
        <f>J883-3</f>
        <v>2</v>
      </c>
      <c r="L883" s="98"/>
      <c r="M883" s="98"/>
      <c r="N883" s="98"/>
      <c r="O883" s="98"/>
      <c r="P883" s="98"/>
      <c r="Q883" s="98"/>
      <c r="R883" s="98"/>
    </row>
    <row r="884" spans="1:18" ht="15" customHeight="1">
      <c r="A884" s="267" t="s">
        <v>575</v>
      </c>
      <c r="B884" s="267"/>
      <c r="C884" s="268" t="s">
        <v>104</v>
      </c>
      <c r="D884" s="42" t="s">
        <v>29</v>
      </c>
      <c r="E884" s="69">
        <v>1.675</v>
      </c>
      <c r="G884" s="92" t="str">
        <f>CONCATENATE(D884," - ",E884,", ")</f>
        <v>MS iron scrap - 1.675, </v>
      </c>
      <c r="H884" s="285"/>
      <c r="I884" s="98" t="str">
        <f ca="1">IF(J883&gt;=3,(MID(I883,2,1)&amp;MID(I883,4,3)-K883),CELL("address",Z884))</f>
        <v>G885</v>
      </c>
      <c r="J884" s="98" t="str">
        <f ca="1">IF(J883&gt;=4,(MID(I884,1,1)&amp;MID(I884,2,3)+1),CELL("address",AA884))</f>
        <v>G886</v>
      </c>
      <c r="K884" s="98" t="str">
        <f ca="1">IF(J883&gt;=5,(MID(J884,1,1)&amp;MID(J884,2,3)+1),CELL("address",AB884))</f>
        <v>G887</v>
      </c>
      <c r="L884" s="98" t="str">
        <f ca="1">IF(J883&gt;=6,(MID(K884,1,1)&amp;MID(K884,2,3)+1),CELL("address",AC884))</f>
        <v>$AC$884</v>
      </c>
      <c r="M884" s="98" t="str">
        <f ca="1">IF(J883&gt;=7,(MID(L884,1,1)&amp;MID(L884,2,3)+1),CELL("address",AD884))</f>
        <v>$AD$884</v>
      </c>
      <c r="N884" s="98" t="str">
        <f ca="1">IF(J883&gt;=8,(MID(M884,1,1)&amp;MID(M884,2,3)+1),CELL("address",AE884))</f>
        <v>$AE$884</v>
      </c>
      <c r="O884" s="98" t="str">
        <f ca="1">IF(J883&gt;=9,(MID(N884,1,1)&amp;MID(N884,2,3)+1),CELL("address",AF884))</f>
        <v>$AF$884</v>
      </c>
      <c r="P884" s="98" t="str">
        <f ca="1">IF(J883&gt;=10,(MID(O884,1,1)&amp;MID(O884,2,3)+1),CELL("address",AG884))</f>
        <v>$AG$884</v>
      </c>
      <c r="Q884" s="98" t="str">
        <f ca="1">IF(J883&gt;=11,(MID(P884,1,1)&amp;MID(P884,2,3)+1),CELL("address",AH884))</f>
        <v>$AH$884</v>
      </c>
      <c r="R884" s="98" t="str">
        <f ca="1">IF(J883&gt;=12,(MID(Q884,1,1)&amp;MID(Q884,2,3)+1),CELL("address",AI884))</f>
        <v>$AI$884</v>
      </c>
    </row>
    <row r="885" spans="1:8" ht="15" customHeight="1">
      <c r="A885" s="267"/>
      <c r="B885" s="267"/>
      <c r="C885" s="268"/>
      <c r="D885" s="81" t="s">
        <v>60</v>
      </c>
      <c r="E885" s="69">
        <v>0.559</v>
      </c>
      <c r="G885" s="92" t="str">
        <f>CONCATENATE(D885," - ",E885,", ")</f>
        <v>Transformer body scrap - 0.559, </v>
      </c>
      <c r="H885" s="1"/>
    </row>
    <row r="886" spans="1:8" ht="15" customHeight="1">
      <c r="A886" s="267"/>
      <c r="B886" s="267"/>
      <c r="C886" s="268"/>
      <c r="D886" s="45" t="s">
        <v>574</v>
      </c>
      <c r="E886" s="58">
        <v>0.267</v>
      </c>
      <c r="G886" s="92" t="str">
        <f>CONCATENATE(D886," - ",E886,", ")</f>
        <v>Lamination scrap - 0.267, </v>
      </c>
      <c r="H886" s="1"/>
    </row>
    <row r="887" spans="1:8" ht="15" customHeight="1">
      <c r="A887" s="214"/>
      <c r="B887" s="216"/>
      <c r="C887" s="48"/>
      <c r="D887" s="38"/>
      <c r="E887" s="185"/>
      <c r="G887" s="212"/>
      <c r="H887" s="1"/>
    </row>
    <row r="888" spans="1:8" ht="15" customHeight="1">
      <c r="A888" s="53"/>
      <c r="B888" s="54"/>
      <c r="C888" s="54"/>
      <c r="D888" s="55"/>
      <c r="E888" s="168">
        <f>SUM(E890:E890)</f>
        <v>19</v>
      </c>
      <c r="G888" s="212"/>
      <c r="H888" s="1"/>
    </row>
    <row r="889" spans="1:18" ht="15" customHeight="1">
      <c r="A889" s="267" t="s">
        <v>5</v>
      </c>
      <c r="B889" s="267"/>
      <c r="C889" s="40" t="s">
        <v>17</v>
      </c>
      <c r="D889" s="222" t="s">
        <v>18</v>
      </c>
      <c r="E889" s="39" t="s">
        <v>7</v>
      </c>
      <c r="G889" s="93" t="str">
        <f>CONCATENATE("Misc. Iron Scrap, Lying at ",C890,". Quantity in MT - ")</f>
        <v>Misc. Iron Scrap, Lying at S &amp; T Store Bathinda. Quantity in MT - </v>
      </c>
      <c r="H889" s="285" t="str">
        <f ca="1">CONCATENATE(G889,G890,(INDIRECT(I890)),(INDIRECT(J890)),(INDIRECT(K890)),(INDIRECT(L890)),(INDIRECT(M890)),(INDIRECT(N890)),(INDIRECT(O890)),(INDIRECT(P890)),(INDIRECT(Q890)),(INDIRECT(R890)),".")</f>
        <v>Misc. Iron Scrap, Lying at S &amp; T Store Bathinda. Quantity in MT - MS iron scrap - 19, .</v>
      </c>
      <c r="I889" s="98" t="str">
        <f aca="true" ca="1" t="array" ref="I889">CELL("address",INDEX(G889:G915,MATCH(TRUE,ISBLANK(G889:G915),0)))</f>
        <v>$G$891</v>
      </c>
      <c r="J889" s="98">
        <f aca="true" t="array" ref="J889">MATCH(TRUE,ISBLANK(G889:G915),0)</f>
        <v>3</v>
      </c>
      <c r="K889" s="98">
        <f>J889-3</f>
        <v>0</v>
      </c>
      <c r="L889" s="98"/>
      <c r="M889" s="98"/>
      <c r="N889" s="98"/>
      <c r="O889" s="98"/>
      <c r="P889" s="98"/>
      <c r="Q889" s="98"/>
      <c r="R889" s="98"/>
    </row>
    <row r="890" spans="1:18" ht="15" customHeight="1">
      <c r="A890" s="267" t="s">
        <v>647</v>
      </c>
      <c r="B890" s="267"/>
      <c r="C890" s="222" t="s">
        <v>57</v>
      </c>
      <c r="D890" s="42" t="s">
        <v>29</v>
      </c>
      <c r="E890" s="69">
        <v>19</v>
      </c>
      <c r="G890" s="92" t="str">
        <f>CONCATENATE(D890," - ",E890,", ")</f>
        <v>MS iron scrap - 19, </v>
      </c>
      <c r="H890" s="285"/>
      <c r="I890" s="98" t="str">
        <f ca="1">IF(J889&gt;=3,(MID(I889,2,1)&amp;MID(I889,4,3)-K889),CELL("address",Z890))</f>
        <v>G891</v>
      </c>
      <c r="J890" s="98" t="str">
        <f ca="1">IF(J889&gt;=4,(MID(I890,1,1)&amp;MID(I890,2,3)+1),CELL("address",AA890))</f>
        <v>$AA$890</v>
      </c>
      <c r="K890" s="98" t="str">
        <f ca="1">IF(J889&gt;=5,(MID(J890,1,1)&amp;MID(J890,2,3)+1),CELL("address",AB890))</f>
        <v>$AB$890</v>
      </c>
      <c r="L890" s="98" t="str">
        <f ca="1">IF(J889&gt;=6,(MID(K890,1,1)&amp;MID(K890,2,3)+1),CELL("address",AC890))</f>
        <v>$AC$890</v>
      </c>
      <c r="M890" s="98" t="str">
        <f ca="1">IF(J889&gt;=7,(MID(L890,1,1)&amp;MID(L890,2,3)+1),CELL("address",AD890))</f>
        <v>$AD$890</v>
      </c>
      <c r="N890" s="98" t="str">
        <f ca="1">IF(J889&gt;=8,(MID(M890,1,1)&amp;MID(M890,2,3)+1),CELL("address",AE890))</f>
        <v>$AE$890</v>
      </c>
      <c r="O890" s="98" t="str">
        <f ca="1">IF(J889&gt;=9,(MID(N890,1,1)&amp;MID(N890,2,3)+1),CELL("address",AF890))</f>
        <v>$AF$890</v>
      </c>
      <c r="P890" s="98" t="str">
        <f ca="1">IF(J889&gt;=10,(MID(O890,1,1)&amp;MID(O890,2,3)+1),CELL("address",AG890))</f>
        <v>$AG$890</v>
      </c>
      <c r="Q890" s="98" t="str">
        <f ca="1">IF(J889&gt;=11,(MID(P890,1,1)&amp;MID(P890,2,3)+1),CELL("address",AH890))</f>
        <v>$AH$890</v>
      </c>
      <c r="R890" s="98" t="str">
        <f ca="1">IF(J889&gt;=12,(MID(Q890,1,1)&amp;MID(Q890,2,3)+1),CELL("address",AI890))</f>
        <v>$AI$890</v>
      </c>
    </row>
    <row r="891" spans="1:18" ht="15" customHeight="1">
      <c r="A891" s="39"/>
      <c r="B891" s="41"/>
      <c r="C891" s="48"/>
      <c r="D891" s="41"/>
      <c r="E891" s="58"/>
      <c r="G891" s="212"/>
      <c r="H891" s="265"/>
      <c r="I891" s="98"/>
      <c r="J891" s="98"/>
      <c r="K891" s="98"/>
      <c r="L891" s="98"/>
      <c r="M891" s="98"/>
      <c r="N891" s="98"/>
      <c r="O891" s="98"/>
      <c r="P891" s="98"/>
      <c r="Q891" s="98"/>
      <c r="R891" s="98"/>
    </row>
    <row r="892" spans="1:18" ht="15" customHeight="1">
      <c r="A892" s="53"/>
      <c r="B892" s="54"/>
      <c r="C892" s="54"/>
      <c r="D892" s="55"/>
      <c r="E892" s="168">
        <f>SUM(E894:E894)</f>
        <v>64</v>
      </c>
      <c r="G892" s="212"/>
      <c r="H892" s="265"/>
      <c r="I892" s="98"/>
      <c r="J892" s="98"/>
      <c r="K892" s="98"/>
      <c r="L892" s="98"/>
      <c r="M892" s="98"/>
      <c r="N892" s="98"/>
      <c r="O892" s="98"/>
      <c r="P892" s="98"/>
      <c r="Q892" s="98"/>
      <c r="R892" s="98"/>
    </row>
    <row r="893" spans="1:18" ht="15" customHeight="1">
      <c r="A893" s="267" t="s">
        <v>5</v>
      </c>
      <c r="B893" s="267"/>
      <c r="C893" s="40" t="s">
        <v>17</v>
      </c>
      <c r="D893" s="240" t="s">
        <v>18</v>
      </c>
      <c r="E893" s="39" t="s">
        <v>69</v>
      </c>
      <c r="G893" s="93" t="str">
        <f>CONCATENATE("U/S Typewriters, Lying at ",C894,". Quantity in No - ")</f>
        <v>U/S Typewriters, Lying at CS Patiala. Quantity in No - </v>
      </c>
      <c r="H893" s="285" t="str">
        <f ca="1">CONCATENATE(G893,G894,(INDIRECT(I894)),(INDIRECT(J894)),(INDIRECT(K894)),(INDIRECT(L894)),(INDIRECT(M894)),(INDIRECT(N894)),(INDIRECT(O894)),(INDIRECT(P894)),(INDIRECT(Q894)),(INDIRECT(R894)),".")</f>
        <v>U/S Typewriters, Lying at CS Patiala. Quantity in No - U/S Typewriters - 64, .</v>
      </c>
      <c r="I893" s="98" t="str">
        <f aca="true" ca="1" t="array" ref="I893">CELL("address",INDEX(G893:G919,MATCH(TRUE,ISBLANK(G893:G919),0)))</f>
        <v>$G$895</v>
      </c>
      <c r="J893" s="98">
        <f aca="true" t="array" ref="J893">MATCH(TRUE,ISBLANK(G893:G919),0)</f>
        <v>3</v>
      </c>
      <c r="K893" s="98">
        <f>J893-3</f>
        <v>0</v>
      </c>
      <c r="L893" s="98"/>
      <c r="M893" s="98"/>
      <c r="N893" s="98"/>
      <c r="O893" s="98"/>
      <c r="P893" s="98"/>
      <c r="Q893" s="98"/>
      <c r="R893" s="98"/>
    </row>
    <row r="894" spans="1:18" ht="15" customHeight="1">
      <c r="A894" s="267" t="s">
        <v>712</v>
      </c>
      <c r="B894" s="267"/>
      <c r="C894" s="240" t="s">
        <v>52</v>
      </c>
      <c r="D894" s="242" t="s">
        <v>710</v>
      </c>
      <c r="E894" s="185">
        <v>64</v>
      </c>
      <c r="F894" s="1" t="s">
        <v>320</v>
      </c>
      <c r="G894" s="92" t="str">
        <f>CONCATENATE(D894," - ",E894,", ")</f>
        <v>U/S Typewriters - 64, </v>
      </c>
      <c r="H894" s="285"/>
      <c r="I894" s="98" t="str">
        <f ca="1">IF(J893&gt;=3,(MID(I893,2,1)&amp;MID(I893,4,3)-K893),CELL("address",Z894))</f>
        <v>G895</v>
      </c>
      <c r="J894" s="98" t="str">
        <f ca="1">IF(J893&gt;=4,(MID(I894,1,1)&amp;MID(I894,2,3)+1),CELL("address",AA894))</f>
        <v>$AA$894</v>
      </c>
      <c r="K894" s="98" t="str">
        <f ca="1">IF(J893&gt;=5,(MID(J894,1,1)&amp;MID(J894,2,3)+1),CELL("address",AB894))</f>
        <v>$AB$894</v>
      </c>
      <c r="L894" s="98" t="str">
        <f ca="1">IF(J893&gt;=6,(MID(K894,1,1)&amp;MID(K894,2,3)+1),CELL("address",AC894))</f>
        <v>$AC$894</v>
      </c>
      <c r="M894" s="98" t="str">
        <f ca="1">IF(J893&gt;=7,(MID(L894,1,1)&amp;MID(L894,2,3)+1),CELL("address",AD894))</f>
        <v>$AD$894</v>
      </c>
      <c r="N894" s="98" t="str">
        <f ca="1">IF(J893&gt;=8,(MID(M894,1,1)&amp;MID(M894,2,3)+1),CELL("address",AE894))</f>
        <v>$AE$894</v>
      </c>
      <c r="O894" s="98" t="str">
        <f ca="1">IF(J893&gt;=9,(MID(N894,1,1)&amp;MID(N894,2,3)+1),CELL("address",AF894))</f>
        <v>$AF$894</v>
      </c>
      <c r="P894" s="98" t="str">
        <f ca="1">IF(J893&gt;=10,(MID(O894,1,1)&amp;MID(O894,2,3)+1),CELL("address",AG894))</f>
        <v>$AG$894</v>
      </c>
      <c r="Q894" s="98" t="str">
        <f ca="1">IF(J893&gt;=11,(MID(P894,1,1)&amp;MID(P894,2,3)+1),CELL("address",AH894))</f>
        <v>$AH$894</v>
      </c>
      <c r="R894" s="98" t="str">
        <f ca="1">IF(J893&gt;=12,(MID(Q894,1,1)&amp;MID(Q894,2,3)+1),CELL("address",AI894))</f>
        <v>$AI$894</v>
      </c>
    </row>
    <row r="895" spans="1:8" ht="15" customHeight="1">
      <c r="A895" s="39"/>
      <c r="B895" s="41"/>
      <c r="C895" s="48"/>
      <c r="D895" s="38"/>
      <c r="E895" s="185"/>
      <c r="H895" s="1"/>
    </row>
    <row r="896" spans="1:8" ht="15" customHeight="1">
      <c r="A896" s="317" t="s">
        <v>288</v>
      </c>
      <c r="B896" s="318"/>
      <c r="C896" s="318"/>
      <c r="D896" s="318"/>
      <c r="E896" s="318"/>
      <c r="H896" s="1"/>
    </row>
    <row r="897" spans="1:8" ht="15" customHeight="1">
      <c r="A897" s="286" t="s">
        <v>5</v>
      </c>
      <c r="B897" s="287"/>
      <c r="C897" s="286" t="s">
        <v>6</v>
      </c>
      <c r="D897" s="287"/>
      <c r="E897" s="223" t="s">
        <v>7</v>
      </c>
      <c r="H897" s="93"/>
    </row>
    <row r="898" spans="1:8" ht="15" customHeight="1">
      <c r="A898" s="267" t="s">
        <v>124</v>
      </c>
      <c r="B898" s="267"/>
      <c r="C898" s="289" t="s">
        <v>112</v>
      </c>
      <c r="D898" s="289"/>
      <c r="E898" s="198">
        <v>1.293</v>
      </c>
      <c r="H898" s="93" t="str">
        <f aca="true" t="shared" si="5" ref="H898:H914">CONCATENATE("Wooden scrap (without iron parts), Lying at ",C898,". Quantity in MT - ",E898,)</f>
        <v>Wooden scrap (without iron parts), Lying at OL Fazilka. Quantity in MT - 1.293</v>
      </c>
    </row>
    <row r="899" spans="1:8" ht="15" customHeight="1">
      <c r="A899" s="267" t="s">
        <v>127</v>
      </c>
      <c r="B899" s="267"/>
      <c r="C899" s="267" t="s">
        <v>95</v>
      </c>
      <c r="D899" s="267"/>
      <c r="E899" s="198">
        <v>0.421</v>
      </c>
      <c r="H899" s="93" t="str">
        <f t="shared" si="5"/>
        <v>Wooden scrap (without iron parts), Lying at CS Malout. Quantity in MT - 0.421</v>
      </c>
    </row>
    <row r="900" spans="1:8" ht="15" customHeight="1">
      <c r="A900" s="267" t="s">
        <v>128</v>
      </c>
      <c r="B900" s="267"/>
      <c r="C900" s="289" t="s">
        <v>102</v>
      </c>
      <c r="D900" s="289"/>
      <c r="E900" s="69">
        <v>0.597</v>
      </c>
      <c r="H900" s="93" t="str">
        <f t="shared" si="5"/>
        <v>Wooden scrap (without iron parts), Lying at OL Patran. Quantity in MT - 0.597</v>
      </c>
    </row>
    <row r="901" spans="1:8" ht="15" customHeight="1">
      <c r="A901" s="267" t="s">
        <v>129</v>
      </c>
      <c r="B901" s="267"/>
      <c r="C901" s="267" t="s">
        <v>43</v>
      </c>
      <c r="D901" s="267"/>
      <c r="E901" s="69">
        <v>4.968</v>
      </c>
      <c r="H901" s="93" t="str">
        <f t="shared" si="5"/>
        <v>Wooden scrap (without iron parts), Lying at CS Kotkapura. Quantity in MT - 4.968</v>
      </c>
    </row>
    <row r="902" spans="1:8" ht="15" customHeight="1">
      <c r="A902" s="267" t="s">
        <v>130</v>
      </c>
      <c r="B902" s="267"/>
      <c r="C902" s="267" t="s">
        <v>79</v>
      </c>
      <c r="D902" s="267"/>
      <c r="E902" s="69">
        <v>1.796</v>
      </c>
      <c r="H902" s="93" t="str">
        <f t="shared" si="5"/>
        <v>Wooden scrap (without iron parts), Lying at CS Sangrur. Quantity in MT - 1.796</v>
      </c>
    </row>
    <row r="903" spans="1:8" ht="15" customHeight="1">
      <c r="A903" s="267" t="s">
        <v>131</v>
      </c>
      <c r="B903" s="267"/>
      <c r="C903" s="289" t="s">
        <v>126</v>
      </c>
      <c r="D903" s="289"/>
      <c r="E903" s="69">
        <v>1.275</v>
      </c>
      <c r="H903" s="93" t="str">
        <f t="shared" si="5"/>
        <v>Wooden scrap (without iron parts), Lying at OL Malerkotla. Quantity in MT - 1.275</v>
      </c>
    </row>
    <row r="904" spans="1:8" ht="15" customHeight="1">
      <c r="A904" s="267" t="s">
        <v>137</v>
      </c>
      <c r="B904" s="267"/>
      <c r="C904" s="289" t="s">
        <v>100</v>
      </c>
      <c r="D904" s="289"/>
      <c r="E904" s="69">
        <v>0.338</v>
      </c>
      <c r="H904" s="93" t="str">
        <f t="shared" si="5"/>
        <v>Wooden scrap (without iron parts), Lying at OL Bhagta Bhai Ka. Quantity in MT - 0.338</v>
      </c>
    </row>
    <row r="905" spans="1:8" ht="15" customHeight="1">
      <c r="A905" s="267" t="s">
        <v>138</v>
      </c>
      <c r="B905" s="267"/>
      <c r="C905" s="289" t="s">
        <v>59</v>
      </c>
      <c r="D905" s="289"/>
      <c r="E905" s="69">
        <v>0.4</v>
      </c>
      <c r="H905" s="93" t="str">
        <f t="shared" si="5"/>
        <v>Wooden scrap (without iron parts), Lying at OL Mansa. Quantity in MT - 0.4</v>
      </c>
    </row>
    <row r="906" spans="1:8" ht="15" customHeight="1">
      <c r="A906" s="267" t="s">
        <v>139</v>
      </c>
      <c r="B906" s="267"/>
      <c r="C906" s="267" t="s">
        <v>99</v>
      </c>
      <c r="D906" s="267"/>
      <c r="E906" s="69">
        <v>4.39</v>
      </c>
      <c r="H906" s="93" t="str">
        <f t="shared" si="5"/>
        <v>Wooden scrap (without iron parts), Lying at CS Ferozepur. Quantity in MT - 4.39</v>
      </c>
    </row>
    <row r="907" spans="1:8" ht="15" customHeight="1">
      <c r="A907" s="267" t="s">
        <v>140</v>
      </c>
      <c r="B907" s="267"/>
      <c r="C907" s="289" t="s">
        <v>98</v>
      </c>
      <c r="D907" s="306"/>
      <c r="E907" s="69">
        <v>1.464</v>
      </c>
      <c r="H907" s="93" t="str">
        <f t="shared" si="5"/>
        <v>Wooden scrap (without iron parts), Lying at OL Ropar. Quantity in MT - 1.464</v>
      </c>
    </row>
    <row r="908" spans="1:8" ht="15" customHeight="1">
      <c r="A908" s="267" t="s">
        <v>144</v>
      </c>
      <c r="B908" s="267"/>
      <c r="C908" s="289" t="s">
        <v>270</v>
      </c>
      <c r="D908" s="306"/>
      <c r="E908" s="69">
        <v>0.376</v>
      </c>
      <c r="H908" s="93" t="str">
        <f t="shared" si="5"/>
        <v>Wooden scrap (without iron parts), Lying at OL Moga. Quantity in MT - 0.376</v>
      </c>
    </row>
    <row r="909" spans="1:8" ht="15" customHeight="1">
      <c r="A909" s="267" t="s">
        <v>464</v>
      </c>
      <c r="B909" s="267"/>
      <c r="C909" s="308" t="s">
        <v>465</v>
      </c>
      <c r="D909" s="308"/>
      <c r="E909" s="69">
        <v>0.5</v>
      </c>
      <c r="H909" s="93" t="str">
        <f t="shared" si="5"/>
        <v>Wooden scrap (without iron parts), Lying at OL Shri Mukatsar Sahib. Quantity in MT - 0.5</v>
      </c>
    </row>
    <row r="910" spans="1:8" ht="15" customHeight="1">
      <c r="A910" s="267" t="s">
        <v>489</v>
      </c>
      <c r="B910" s="267"/>
      <c r="C910" s="289" t="s">
        <v>190</v>
      </c>
      <c r="D910" s="289"/>
      <c r="E910" s="46">
        <v>0.625</v>
      </c>
      <c r="H910" s="93" t="str">
        <f t="shared" si="5"/>
        <v>Wooden scrap (without iron parts), Lying at OL Barnala. Quantity in MT - 0.625</v>
      </c>
    </row>
    <row r="911" spans="1:8" ht="15" customHeight="1">
      <c r="A911" s="267" t="s">
        <v>535</v>
      </c>
      <c r="B911" s="267"/>
      <c r="C911" s="308" t="s">
        <v>63</v>
      </c>
      <c r="D911" s="308"/>
      <c r="E911" s="46">
        <v>0.199</v>
      </c>
      <c r="H911" s="93" t="str">
        <f t="shared" si="5"/>
        <v>Wooden scrap (without iron parts), Lying at CS Bathinda. Quantity in MT - 0.199</v>
      </c>
    </row>
    <row r="912" spans="1:8" ht="15" customHeight="1">
      <c r="A912" s="267" t="s">
        <v>567</v>
      </c>
      <c r="B912" s="267"/>
      <c r="C912" s="289" t="s">
        <v>62</v>
      </c>
      <c r="D912" s="289"/>
      <c r="E912" s="46">
        <v>1.785</v>
      </c>
      <c r="H912" s="93" t="str">
        <f t="shared" si="5"/>
        <v>Wooden scrap (without iron parts), Lying at CS Mohali. Quantity in MT - 1.785</v>
      </c>
    </row>
    <row r="913" spans="1:8" ht="15" customHeight="1">
      <c r="A913" s="267" t="s">
        <v>576</v>
      </c>
      <c r="B913" s="267"/>
      <c r="C913" s="289" t="s">
        <v>52</v>
      </c>
      <c r="D913" s="289"/>
      <c r="E913" s="46">
        <v>3.201</v>
      </c>
      <c r="H913" s="93" t="str">
        <f t="shared" si="5"/>
        <v>Wooden scrap (without iron parts), Lying at CS Patiala. Quantity in MT - 3.201</v>
      </c>
    </row>
    <row r="914" spans="1:8" ht="15" customHeight="1" thickBot="1">
      <c r="A914" s="267" t="s">
        <v>578</v>
      </c>
      <c r="B914" s="267"/>
      <c r="C914" s="289" t="s">
        <v>577</v>
      </c>
      <c r="D914" s="289"/>
      <c r="E914" s="46">
        <v>1.305</v>
      </c>
      <c r="H914" s="93" t="str">
        <f t="shared" si="5"/>
        <v>Wooden scrap (without iron parts), Lying at OLNabha. Quantity in MT - 1.305</v>
      </c>
    </row>
    <row r="915" spans="1:8" ht="15" customHeight="1" thickBot="1">
      <c r="A915" s="304" t="s">
        <v>14</v>
      </c>
      <c r="B915" s="305"/>
      <c r="C915" s="231"/>
      <c r="D915" s="231"/>
      <c r="E915" s="169">
        <f>SUM(E898:E914)</f>
        <v>24.933</v>
      </c>
      <c r="H915" s="1"/>
    </row>
    <row r="916" spans="1:8" ht="15" customHeight="1">
      <c r="A916" s="19"/>
      <c r="B916" s="19"/>
      <c r="C916" s="15"/>
      <c r="D916" s="15"/>
      <c r="E916" s="170"/>
      <c r="H916" s="1"/>
    </row>
    <row r="917" spans="1:8" ht="15" customHeight="1">
      <c r="A917" s="346" t="s">
        <v>11</v>
      </c>
      <c r="B917" s="347"/>
      <c r="C917" s="347"/>
      <c r="D917" s="347"/>
      <c r="E917" s="347"/>
      <c r="H917" s="1"/>
    </row>
    <row r="918" spans="1:8" ht="15" customHeight="1">
      <c r="A918" s="16"/>
      <c r="B918" s="17"/>
      <c r="C918" s="17"/>
      <c r="D918" s="17"/>
      <c r="E918" s="17"/>
      <c r="H918" s="1"/>
    </row>
    <row r="919" spans="1:8" ht="15" customHeight="1">
      <c r="A919" s="311" t="s">
        <v>8</v>
      </c>
      <c r="B919" s="312"/>
      <c r="C919" s="312"/>
      <c r="D919" s="312"/>
      <c r="E919" s="312"/>
      <c r="H919" s="1"/>
    </row>
    <row r="920" spans="1:8" ht="15" customHeight="1">
      <c r="A920" s="40" t="s">
        <v>5</v>
      </c>
      <c r="B920" s="268" t="s">
        <v>17</v>
      </c>
      <c r="C920" s="268"/>
      <c r="D920" s="222" t="s">
        <v>18</v>
      </c>
      <c r="E920" s="39" t="s">
        <v>76</v>
      </c>
      <c r="H920" s="1"/>
    </row>
    <row r="921" spans="1:8" ht="15" customHeight="1">
      <c r="A921" s="40" t="s">
        <v>78</v>
      </c>
      <c r="B921" s="307" t="s">
        <v>108</v>
      </c>
      <c r="C921" s="307"/>
      <c r="D921" s="40" t="s">
        <v>77</v>
      </c>
      <c r="E921" s="166">
        <v>37</v>
      </c>
      <c r="H921" s="93" t="str">
        <f>CONCATENATE("CT/PT Units, Lying at ",B921,". Quantity in No - ",E921,)</f>
        <v>CT/PT Units, Lying at Central Store Kotkapura. Quantity in No - 37</v>
      </c>
    </row>
    <row r="922" spans="1:8" ht="15" customHeight="1">
      <c r="A922" s="39"/>
      <c r="B922" s="78"/>
      <c r="C922" s="78"/>
      <c r="D922" s="41"/>
      <c r="E922" s="167"/>
      <c r="H922" s="93"/>
    </row>
    <row r="923" spans="1:8" ht="15" customHeight="1">
      <c r="A923" s="40" t="s">
        <v>5</v>
      </c>
      <c r="B923" s="268" t="s">
        <v>17</v>
      </c>
      <c r="C923" s="268"/>
      <c r="D923" s="222" t="s">
        <v>18</v>
      </c>
      <c r="E923" s="39" t="s">
        <v>76</v>
      </c>
      <c r="H923" s="1"/>
    </row>
    <row r="924" spans="1:8" ht="15" customHeight="1">
      <c r="A924" s="40" t="s">
        <v>121</v>
      </c>
      <c r="B924" s="307" t="s">
        <v>159</v>
      </c>
      <c r="C924" s="307"/>
      <c r="D924" s="40" t="s">
        <v>77</v>
      </c>
      <c r="E924" s="166">
        <v>33</v>
      </c>
      <c r="H924" s="93" t="str">
        <f>CONCATENATE("CT/PT Units, Lying at ",B924,". Quantity in No - ",E924,)</f>
        <v>CT/PT Units, Lying at Central Store Patiala. Quantity in No - 33</v>
      </c>
    </row>
    <row r="925" spans="1:8" ht="15" customHeight="1">
      <c r="A925" s="39"/>
      <c r="B925" s="84"/>
      <c r="C925" s="84"/>
      <c r="D925" s="41"/>
      <c r="E925" s="167"/>
      <c r="H925" s="1"/>
    </row>
    <row r="926" spans="1:8" ht="15" customHeight="1">
      <c r="A926" s="40" t="s">
        <v>5</v>
      </c>
      <c r="B926" s="268" t="s">
        <v>17</v>
      </c>
      <c r="C926" s="268"/>
      <c r="D926" s="222" t="s">
        <v>18</v>
      </c>
      <c r="E926" s="39" t="s">
        <v>76</v>
      </c>
      <c r="H926" s="1"/>
    </row>
    <row r="927" spans="1:8" ht="15" customHeight="1">
      <c r="A927" s="40" t="s">
        <v>197</v>
      </c>
      <c r="B927" s="307" t="s">
        <v>185</v>
      </c>
      <c r="C927" s="307"/>
      <c r="D927" s="40" t="s">
        <v>77</v>
      </c>
      <c r="E927" s="166">
        <v>56</v>
      </c>
      <c r="H927" s="93" t="str">
        <f>CONCATENATE("CT/PT Units, Lying at ",B927,". Quantity in No - ",E927,)</f>
        <v>CT/PT Units, Lying at Outlet store Ropar. Quantity in No - 56</v>
      </c>
    </row>
    <row r="928" spans="1:8" ht="15" customHeight="1">
      <c r="A928" s="39"/>
      <c r="B928" s="84"/>
      <c r="C928" s="84"/>
      <c r="D928" s="234"/>
      <c r="E928" s="171"/>
      <c r="H928" s="1"/>
    </row>
    <row r="929" spans="1:8" ht="15" customHeight="1">
      <c r="A929" s="40" t="s">
        <v>5</v>
      </c>
      <c r="B929" s="268" t="s">
        <v>17</v>
      </c>
      <c r="C929" s="268"/>
      <c r="D929" s="222" t="s">
        <v>18</v>
      </c>
      <c r="E929" s="39" t="s">
        <v>76</v>
      </c>
      <c r="H929" s="1"/>
    </row>
    <row r="930" spans="1:8" ht="15" customHeight="1">
      <c r="A930" s="40" t="s">
        <v>206</v>
      </c>
      <c r="B930" s="307" t="s">
        <v>209</v>
      </c>
      <c r="C930" s="307"/>
      <c r="D930" s="40" t="s">
        <v>77</v>
      </c>
      <c r="E930" s="166">
        <v>42</v>
      </c>
      <c r="H930" s="93" t="str">
        <f>CONCATENATE("CT/PT Units, Lying at ",B930,". Quantity in No - ",E930,)</f>
        <v>CT/PT Units, Lying at Central Store Sangrur. Quantity in No - 42</v>
      </c>
    </row>
    <row r="931" spans="1:8" ht="15" customHeight="1">
      <c r="A931" s="39"/>
      <c r="B931" s="84"/>
      <c r="C931" s="84"/>
      <c r="D931" s="41"/>
      <c r="E931" s="167"/>
      <c r="H931" s="1"/>
    </row>
    <row r="932" spans="1:8" ht="15" customHeight="1">
      <c r="A932" s="40" t="s">
        <v>5</v>
      </c>
      <c r="B932" s="268" t="s">
        <v>17</v>
      </c>
      <c r="C932" s="268"/>
      <c r="D932" s="222" t="s">
        <v>18</v>
      </c>
      <c r="E932" s="39" t="s">
        <v>76</v>
      </c>
      <c r="H932" s="1"/>
    </row>
    <row r="933" spans="1:8" ht="15" customHeight="1">
      <c r="A933" s="40" t="s">
        <v>279</v>
      </c>
      <c r="B933" s="307" t="s">
        <v>293</v>
      </c>
      <c r="C933" s="307"/>
      <c r="D933" s="40" t="s">
        <v>77</v>
      </c>
      <c r="E933" s="166">
        <v>41</v>
      </c>
      <c r="H933" s="93" t="str">
        <f>CONCATENATE("CT/PT Units, Lying at ",B933,". Quantity in No - ",E933,)</f>
        <v>CT/PT Units, Lying at Central Store Bathinda. Quantity in No - 41</v>
      </c>
    </row>
    <row r="934" spans="1:8" ht="15" customHeight="1">
      <c r="A934" s="39"/>
      <c r="B934" s="84"/>
      <c r="C934" s="84"/>
      <c r="D934" s="41"/>
      <c r="E934" s="167"/>
      <c r="H934" s="1"/>
    </row>
    <row r="935" spans="1:8" ht="15" customHeight="1">
      <c r="A935" s="40" t="s">
        <v>5</v>
      </c>
      <c r="B935" s="268" t="s">
        <v>17</v>
      </c>
      <c r="C935" s="268"/>
      <c r="D935" s="222" t="s">
        <v>18</v>
      </c>
      <c r="E935" s="39" t="s">
        <v>76</v>
      </c>
      <c r="H935" s="1"/>
    </row>
    <row r="936" spans="1:8" ht="15" customHeight="1">
      <c r="A936" s="40" t="s">
        <v>294</v>
      </c>
      <c r="B936" s="307" t="s">
        <v>108</v>
      </c>
      <c r="C936" s="307"/>
      <c r="D936" s="40" t="s">
        <v>280</v>
      </c>
      <c r="E936" s="166">
        <v>168</v>
      </c>
      <c r="H936" s="93" t="str">
        <f>CONCATENATE("Empty steel drums (cap 209 ltrs), Lying at ",B936,". Quantity in No - ",E936,)</f>
        <v>Empty steel drums (cap 209 ltrs), Lying at Central Store Kotkapura. Quantity in No - 168</v>
      </c>
    </row>
    <row r="937" spans="1:8" ht="15" customHeight="1">
      <c r="A937" s="39"/>
      <c r="B937" s="84"/>
      <c r="C937" s="84"/>
      <c r="D937" s="41"/>
      <c r="E937" s="167"/>
      <c r="H937" s="1"/>
    </row>
    <row r="938" spans="1:8" ht="15" customHeight="1">
      <c r="A938" s="40" t="s">
        <v>5</v>
      </c>
      <c r="B938" s="268" t="s">
        <v>17</v>
      </c>
      <c r="C938" s="268"/>
      <c r="D938" s="222" t="s">
        <v>18</v>
      </c>
      <c r="E938" s="39" t="s">
        <v>76</v>
      </c>
      <c r="H938" s="1"/>
    </row>
    <row r="939" spans="1:8" ht="15" customHeight="1">
      <c r="A939" s="40" t="s">
        <v>326</v>
      </c>
      <c r="B939" s="307" t="s">
        <v>325</v>
      </c>
      <c r="C939" s="307"/>
      <c r="D939" s="40" t="s">
        <v>280</v>
      </c>
      <c r="E939" s="166">
        <v>53</v>
      </c>
      <c r="H939" s="93" t="str">
        <f>CONCATENATE("Empty steel drums (cap 209 ltrs), Lying at ",B939,". Quantity in No - ",E939,)</f>
        <v>Empty steel drums (cap 209 ltrs), Lying at Central Store Malout. Quantity in No - 53</v>
      </c>
    </row>
    <row r="940" spans="1:8" ht="15" customHeight="1">
      <c r="A940" s="39"/>
      <c r="B940" s="84"/>
      <c r="C940" s="84"/>
      <c r="D940" s="234"/>
      <c r="E940" s="171"/>
      <c r="H940" s="1"/>
    </row>
    <row r="941" spans="1:8" ht="15" customHeight="1">
      <c r="A941" s="40" t="s">
        <v>5</v>
      </c>
      <c r="B941" s="268" t="s">
        <v>17</v>
      </c>
      <c r="C941" s="268"/>
      <c r="D941" s="222" t="s">
        <v>18</v>
      </c>
      <c r="E941" s="39" t="s">
        <v>76</v>
      </c>
      <c r="H941" s="1"/>
    </row>
    <row r="942" spans="1:8" ht="15" customHeight="1">
      <c r="A942" s="40" t="s">
        <v>337</v>
      </c>
      <c r="B942" s="307" t="s">
        <v>185</v>
      </c>
      <c r="C942" s="307"/>
      <c r="D942" s="40" t="s">
        <v>280</v>
      </c>
      <c r="E942" s="166">
        <v>13</v>
      </c>
      <c r="H942" s="93" t="str">
        <f>CONCATENATE("Empty steel drums (cap 209 ltrs), Lying at ",B942,". Quantity in No - ",E942,)</f>
        <v>Empty steel drums (cap 209 ltrs), Lying at Outlet store Ropar. Quantity in No - 13</v>
      </c>
    </row>
    <row r="943" spans="1:8" ht="12.75" customHeight="1">
      <c r="A943" s="39"/>
      <c r="B943" s="84"/>
      <c r="C943" s="84"/>
      <c r="D943" s="234"/>
      <c r="E943" s="171"/>
      <c r="F943" s="94"/>
      <c r="G943" s="94"/>
      <c r="H943" s="95"/>
    </row>
    <row r="944" spans="1:8" ht="12.75" customHeight="1">
      <c r="A944" s="290" t="s">
        <v>16</v>
      </c>
      <c r="B944" s="291"/>
      <c r="C944" s="291"/>
      <c r="D944" s="291"/>
      <c r="E944" s="291"/>
      <c r="H944" s="1"/>
    </row>
    <row r="945" spans="1:8" ht="12.75" customHeight="1">
      <c r="A945" s="20"/>
      <c r="B945" s="21"/>
      <c r="C945" s="21"/>
      <c r="D945" s="21"/>
      <c r="E945" s="21"/>
      <c r="H945" s="1"/>
    </row>
    <row r="946" spans="1:8" ht="25.5" customHeight="1">
      <c r="A946" s="319" t="s">
        <v>15</v>
      </c>
      <c r="B946" s="320"/>
      <c r="C946" s="320"/>
      <c r="D946" s="320"/>
      <c r="E946" s="320"/>
      <c r="H946" s="1"/>
    </row>
    <row r="947" spans="1:8" ht="15" customHeight="1">
      <c r="A947" s="228"/>
      <c r="B947" s="229"/>
      <c r="C947" s="229"/>
      <c r="D947" s="229"/>
      <c r="E947" s="229"/>
      <c r="H947" s="1"/>
    </row>
    <row r="948" spans="1:8" ht="15" customHeight="1">
      <c r="A948" s="315" t="s">
        <v>49</v>
      </c>
      <c r="B948" s="316"/>
      <c r="C948" s="316"/>
      <c r="D948" s="316"/>
      <c r="E948" s="316"/>
      <c r="H948" s="1"/>
    </row>
    <row r="949" spans="1:8" ht="24" customHeight="1">
      <c r="A949" s="14" t="s">
        <v>5</v>
      </c>
      <c r="B949" s="14" t="s">
        <v>1</v>
      </c>
      <c r="C949" s="14" t="s">
        <v>2</v>
      </c>
      <c r="D949" s="14" t="s">
        <v>3</v>
      </c>
      <c r="E949" s="172" t="s">
        <v>4</v>
      </c>
      <c r="H949" s="1"/>
    </row>
    <row r="950" spans="1:8" ht="24.75" customHeight="1">
      <c r="A950" s="11" t="s">
        <v>109</v>
      </c>
      <c r="B950" s="11" t="s">
        <v>88</v>
      </c>
      <c r="C950" s="11" t="s">
        <v>105</v>
      </c>
      <c r="D950" s="11" t="s">
        <v>89</v>
      </c>
      <c r="E950" s="24" t="s">
        <v>255</v>
      </c>
      <c r="H950" s="101" t="str">
        <f>CONCATENATE("Condemned/obsolete Vehicles  (Without RC )--- ",B950," ",C950," ",E950," ",)</f>
        <v>Condemned/obsolete Vehicles  (Without RC )--- PB-11 AH-0925 HONDA CIVIC CAR (PETROL) 2008 …. CE/ TA &amp; I PSPCL PATIALA 96461-19587 </v>
      </c>
    </row>
    <row r="951" spans="1:8" ht="24.75" customHeight="1">
      <c r="A951" s="11" t="s">
        <v>151</v>
      </c>
      <c r="B951" s="23" t="s">
        <v>148</v>
      </c>
      <c r="C951" s="23" t="s">
        <v>149</v>
      </c>
      <c r="D951" s="23" t="s">
        <v>150</v>
      </c>
      <c r="E951" s="87" t="s">
        <v>256</v>
      </c>
      <c r="H951" s="101" t="str">
        <f>CONCATENATE("Condemned/obsolete Vehicles  (Without RC )--- ",B951," ",C951," ",E951," ",)</f>
        <v>Condemned/obsolete Vehicles  (Without RC )--- PB-05 F-9520 MINI TRUCK EICHER DIESEL (1999) ….. DS S/D MAMDOT PSPCL FEROZEPUR MOB 9646114589 </v>
      </c>
    </row>
    <row r="952" spans="1:8" ht="24.75" customHeight="1">
      <c r="A952" s="11" t="s">
        <v>154</v>
      </c>
      <c r="B952" s="23" t="s">
        <v>155</v>
      </c>
      <c r="C952" s="23" t="s">
        <v>156</v>
      </c>
      <c r="D952" s="23" t="s">
        <v>157</v>
      </c>
      <c r="E952" s="87" t="s">
        <v>257</v>
      </c>
      <c r="H952" s="101" t="str">
        <f>CONCATENATE("Condemned/obsolete Vehicles  (Without RC )--- ",B952," ",C952," ",E952," ",)</f>
        <v>Condemned/obsolete Vehicles  (Without RC )--- PB-03 N-5547 AMBASSADOR CAR DIESEL (2005) ….. DS DIVISION BADAL 96461-14534 </v>
      </c>
    </row>
    <row r="953" spans="1:15" ht="15" customHeight="1">
      <c r="A953" s="18"/>
      <c r="B953" s="22"/>
      <c r="C953" s="22"/>
      <c r="D953" s="18"/>
      <c r="E953" s="173"/>
      <c r="F953" s="98"/>
      <c r="G953" s="98"/>
      <c r="H953" s="98"/>
      <c r="I953" s="98"/>
      <c r="J953" s="98"/>
      <c r="K953" s="98"/>
      <c r="L953" s="98"/>
      <c r="M953" s="98"/>
      <c r="N953" s="98"/>
      <c r="O953" s="98"/>
    </row>
    <row r="954" spans="1:15" ht="15" customHeight="1">
      <c r="A954" s="309" t="s">
        <v>50</v>
      </c>
      <c r="B954" s="310"/>
      <c r="C954" s="310"/>
      <c r="D954" s="310"/>
      <c r="E954" s="310"/>
      <c r="F954" s="98"/>
      <c r="G954" s="98"/>
      <c r="H954" s="98"/>
      <c r="I954" s="98" t="str">
        <f ca="1">IF(G953&gt;=6,(MID(H954,1,1)&amp;MID(H954,2,4)+1),CELL("address",Z954))</f>
        <v>$Z$954</v>
      </c>
      <c r="J954" s="98" t="str">
        <f ca="1">IF(G953&gt;=7,(MID(I954,1,1)&amp;MID(I954,2,4)+1),CELL("address",AA954))</f>
        <v>$AA$954</v>
      </c>
      <c r="K954" s="98" t="str">
        <f ca="1">IF(G953&gt;=8,(MID(J954,1,1)&amp;MID(J954,2,4)+1),CELL("address",AB954))</f>
        <v>$AB$954</v>
      </c>
      <c r="L954" s="98" t="str">
        <f ca="1">IF(G953&gt;=9,(MID(K954,1,1)&amp;MID(K954,2,4)+1),CELL("address",AC954))</f>
        <v>$AC$954</v>
      </c>
      <c r="M954" s="98" t="str">
        <f ca="1">IF(G953&gt;=10,(MID(L954,1,1)&amp;MID(L954,2,4)+1),CELL("address",AD954))</f>
        <v>$AD$954</v>
      </c>
      <c r="N954" s="98" t="str">
        <f ca="1">IF(G953&gt;=11,(MID(M954,1,1)&amp;MID(M954,2,4)+1),CELL("address",AE954))</f>
        <v>$AE$954</v>
      </c>
      <c r="O954" s="98" t="str">
        <f ca="1">IF(G953&gt;=12,(MID(N954,1,1)&amp;MID(N954,2,4)+1),CELL("address",AF954))</f>
        <v>$AF$954</v>
      </c>
    </row>
    <row r="955" spans="1:8" ht="15" customHeight="1">
      <c r="A955" s="313" t="s">
        <v>106</v>
      </c>
      <c r="B955" s="314"/>
      <c r="C955" s="314"/>
      <c r="D955" s="314"/>
      <c r="E955" s="314"/>
      <c r="H955" s="1"/>
    </row>
    <row r="956" spans="1:8" ht="15" customHeight="1">
      <c r="A956" s="6"/>
      <c r="B956" s="7"/>
      <c r="C956" s="7"/>
      <c r="D956" s="7"/>
      <c r="E956" s="7"/>
      <c r="H956" s="1"/>
    </row>
    <row r="957" spans="1:20" ht="15" customHeight="1">
      <c r="A957" s="290" t="s">
        <v>25</v>
      </c>
      <c r="B957" s="291"/>
      <c r="C957" s="291"/>
      <c r="D957" s="291"/>
      <c r="E957" s="291"/>
      <c r="H957" s="1"/>
      <c r="Q957" s="301"/>
      <c r="R957" s="301"/>
      <c r="S957" s="301"/>
      <c r="T957" s="301"/>
    </row>
    <row r="958" spans="1:8" ht="15" customHeight="1">
      <c r="A958" s="61"/>
      <c r="B958" s="61"/>
      <c r="C958" s="62"/>
      <c r="D958" s="62"/>
      <c r="E958" s="63">
        <f>SUM(E960:E963)</f>
        <v>4.129</v>
      </c>
      <c r="H958" s="1"/>
    </row>
    <row r="959" spans="1:18" ht="17.25" customHeight="1">
      <c r="A959" s="269" t="s">
        <v>5</v>
      </c>
      <c r="B959" s="270"/>
      <c r="C959" s="64" t="s">
        <v>17</v>
      </c>
      <c r="D959" s="65" t="s">
        <v>18</v>
      </c>
      <c r="E959" s="68" t="s">
        <v>7</v>
      </c>
      <c r="G959" s="175" t="str">
        <f>CONCATENATE("Misc. Healthy parts/ Non Ferrous  Scrap, Lying at ",C960,". Quantity in MT - ")</f>
        <v>Misc. Healthy parts/ Non Ferrous  Scrap, Lying at TRY Bathinda. Quantity in MT - </v>
      </c>
      <c r="H959" s="285" t="str">
        <f ca="1">CONCATENATE(G959,G960,(INDIRECT(I960)),(INDIRECT(J960)),(INDIRECT(K960)),(INDIRECT(L960)),(INDIRECT(M960)),(INDIRECT(N960)),(INDIRECT(O960)),(INDIRECT(P960)),(INDIRECT(Q960)),(INDIRECT(R960)),".")</f>
        <v>Misc. Healthy parts/ Non Ferrous  Scrap, Lying at TRY Bathinda. Quantity in MT - Brass scrap - 2.683, Misc. Aluminium scrap - 0.893, Burnt Cu scrap - 0.203, Nuts &amp; Bolts scrap - 0.35, .</v>
      </c>
      <c r="I959" s="98" t="str">
        <f aca="true" ca="1" t="array" ref="I959">CELL("address",INDEX(G959:G981,MATCH(TRUE,ISBLANK(G959:G981),0)))</f>
        <v>$G$964</v>
      </c>
      <c r="J959" s="98">
        <f aca="true" t="array" ref="J959">MATCH(TRUE,ISBLANK(G959:G981),0)</f>
        <v>6</v>
      </c>
      <c r="K959" s="98">
        <f>J959-3</f>
        <v>3</v>
      </c>
      <c r="L959" s="98"/>
      <c r="M959" s="98"/>
      <c r="N959" s="98"/>
      <c r="O959" s="98"/>
      <c r="P959" s="98"/>
      <c r="Q959" s="98"/>
      <c r="R959" s="98"/>
    </row>
    <row r="960" spans="1:18" ht="17.25" customHeight="1">
      <c r="A960" s="267" t="s">
        <v>34</v>
      </c>
      <c r="B960" s="267"/>
      <c r="C960" s="268" t="s">
        <v>36</v>
      </c>
      <c r="D960" s="40" t="s">
        <v>23</v>
      </c>
      <c r="E960" s="69">
        <v>2.683</v>
      </c>
      <c r="F960" s="98"/>
      <c r="G960" s="102" t="str">
        <f>CONCATENATE(D960," - ",E960,", ")</f>
        <v>Brass scrap - 2.683, </v>
      </c>
      <c r="H960" s="285"/>
      <c r="I960" s="98" t="str">
        <f ca="1">IF(J959&gt;=3,(MID(I959,2,1)&amp;MID(I959,4,4)-K959),CELL("address",Z960))</f>
        <v>G961</v>
      </c>
      <c r="J960" s="98" t="str">
        <f ca="1">IF(J959&gt;=4,(MID(I960,1,1)&amp;MID(I960,2,4)+1),CELL("address",AA960))</f>
        <v>G962</v>
      </c>
      <c r="K960" s="98" t="str">
        <f ca="1">IF(J959&gt;=5,(MID(J960,1,1)&amp;MID(J960,2,4)+1),CELL("address",AB960))</f>
        <v>G963</v>
      </c>
      <c r="L960" s="98" t="str">
        <f ca="1">IF(J959&gt;=6,(MID(K960,1,1)&amp;MID(K960,2,4)+1),CELL("address",AC960))</f>
        <v>G964</v>
      </c>
      <c r="M960" s="98" t="str">
        <f ca="1">IF(J959&gt;=7,(MID(L960,1,1)&amp;MID(L960,2,4)+1),CELL("address",AD960))</f>
        <v>$AD$960</v>
      </c>
      <c r="N960" s="98" t="str">
        <f ca="1">IF(J959&gt;=8,(MID(M960,1,1)&amp;MID(M960,2,4)+1),CELL("address",AE960))</f>
        <v>$AE$960</v>
      </c>
      <c r="O960" s="98" t="str">
        <f ca="1">IF(J959&gt;=9,(MID(N960,1,1)&amp;MID(N960,2,4)+1),CELL("address",AF960))</f>
        <v>$AF$960</v>
      </c>
      <c r="P960" s="98" t="str">
        <f ca="1">IF(J959&gt;=10,(MID(O960,1,1)&amp;MID(O960,2,4)+1),CELL("address",AG960))</f>
        <v>$AG$960</v>
      </c>
      <c r="Q960" s="98" t="str">
        <f ca="1">IF(J959&gt;=11,(MID(P960,1,1)&amp;MID(P960,2,4)+1),CELL("address",AH960))</f>
        <v>$AH$960</v>
      </c>
      <c r="R960" s="98" t="str">
        <f ca="1">IF(J959&gt;=12,(MID(Q960,1,1)&amp;MID(Q960,2,4)+1),CELL("address",AI960))</f>
        <v>$AI$960</v>
      </c>
    </row>
    <row r="961" spans="1:15" ht="17.25" customHeight="1">
      <c r="A961" s="267"/>
      <c r="B961" s="267"/>
      <c r="C961" s="268"/>
      <c r="D961" s="40" t="s">
        <v>24</v>
      </c>
      <c r="E961" s="69">
        <v>0.893</v>
      </c>
      <c r="F961" s="98"/>
      <c r="G961" s="102" t="str">
        <f>CONCATENATE(D961," - ",E961,", ")</f>
        <v>Misc. Aluminium scrap - 0.893, </v>
      </c>
      <c r="H961" s="98"/>
      <c r="I961" s="98" t="e">
        <f ca="1">IF(G960&gt;=6,(MID(H961,1,1)&amp;MID(H961,2,4)+1),CELL("address",Z961))</f>
        <v>#VALUE!</v>
      </c>
      <c r="J961" s="98" t="e">
        <f ca="1">IF(G960&gt;=7,(MID(I961,1,1)&amp;MID(I961,2,4)+1),CELL("address",AA961))</f>
        <v>#VALUE!</v>
      </c>
      <c r="K961" s="98" t="e">
        <f ca="1">IF(G960&gt;=8,(MID(J961,1,1)&amp;MID(J961,2,4)+1),CELL("address",AB961))</f>
        <v>#VALUE!</v>
      </c>
      <c r="L961" s="98" t="e">
        <f ca="1">IF(G960&gt;=9,(MID(K961,1,1)&amp;MID(K961,2,4)+1),CELL("address",AC961))</f>
        <v>#VALUE!</v>
      </c>
      <c r="M961" s="98" t="e">
        <f ca="1">IF(G960&gt;=10,(MID(L961,1,1)&amp;MID(L961,2,4)+1),CELL("address",AD961))</f>
        <v>#VALUE!</v>
      </c>
      <c r="N961" s="98" t="e">
        <f ca="1">IF(G960&gt;=11,(MID(M961,1,1)&amp;MID(M961,2,4)+1),CELL("address",AE961))</f>
        <v>#VALUE!</v>
      </c>
      <c r="O961" s="98" t="e">
        <f ca="1">IF(G960&gt;=12,(MID(N961,1,1)&amp;MID(N961,2,4)+1),CELL("address",AF961))</f>
        <v>#VALUE!</v>
      </c>
    </row>
    <row r="962" spans="1:8" ht="17.25" customHeight="1">
      <c r="A962" s="267"/>
      <c r="B962" s="267"/>
      <c r="C962" s="268"/>
      <c r="D962" s="40" t="s">
        <v>37</v>
      </c>
      <c r="E962" s="69">
        <v>0.203</v>
      </c>
      <c r="G962" s="102" t="str">
        <f>CONCATENATE(D962," - ",E962,", ")</f>
        <v>Burnt Cu scrap - 0.203, </v>
      </c>
      <c r="H962" s="1"/>
    </row>
    <row r="963" spans="1:8" ht="17.25" customHeight="1">
      <c r="A963" s="267"/>
      <c r="B963" s="267"/>
      <c r="C963" s="268"/>
      <c r="D963" s="40" t="s">
        <v>58</v>
      </c>
      <c r="E963" s="69">
        <v>0.35</v>
      </c>
      <c r="G963" s="102" t="str">
        <f>CONCATENATE(D963," - ",E963,", ")</f>
        <v>Nuts &amp; Bolts scrap - 0.35, </v>
      </c>
      <c r="H963" s="1"/>
    </row>
    <row r="964" spans="1:8" ht="17.25" customHeight="1">
      <c r="A964" s="269"/>
      <c r="B964" s="270"/>
      <c r="C964" s="222"/>
      <c r="D964" s="40"/>
      <c r="E964" s="69"/>
      <c r="H964" s="1"/>
    </row>
    <row r="965" spans="1:8" ht="15" customHeight="1">
      <c r="A965" s="271"/>
      <c r="B965" s="272"/>
      <c r="C965" s="66"/>
      <c r="D965" s="66"/>
      <c r="E965" s="119">
        <f>SUM(E967:E972)</f>
        <v>11.541</v>
      </c>
      <c r="H965" s="1"/>
    </row>
    <row r="966" spans="1:18" ht="15" customHeight="1">
      <c r="A966" s="279" t="s">
        <v>5</v>
      </c>
      <c r="B966" s="280"/>
      <c r="C966" s="64" t="s">
        <v>17</v>
      </c>
      <c r="D966" s="65" t="s">
        <v>18</v>
      </c>
      <c r="E966" s="68" t="s">
        <v>7</v>
      </c>
      <c r="G966" s="175" t="str">
        <f>CONCATENATE("Misc. Healthy parts/ Non Ferrous  Scrap, Lying at ",C967,". Quantity in MT - ")</f>
        <v>Misc. Healthy parts/ Non Ferrous  Scrap, Lying at TRY Ferozepur. Quantity in MT - </v>
      </c>
      <c r="H966" s="285" t="str">
        <f ca="1">CONCATENATE(G966,G967,(INDIRECT(I967)),(INDIRECT(J967)),(INDIRECT(K967)),(INDIRECT(L967)),(INDIRECT(M967)),(INDIRECT(N967)),(INDIRECT(O967)),(INDIRECT(P967)),(INDIRECT(Q967)),(INDIRECT(R967)),".")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966" s="98" t="str">
        <f aca="true" ca="1" t="array" ref="I966">CELL("address",INDEX(G966:G988,MATCH(TRUE,ISBLANK(G966:G988),0)))</f>
        <v>$G$973</v>
      </c>
      <c r="J966" s="98">
        <f aca="true" t="array" ref="J966">MATCH(TRUE,ISBLANK(G966:G988),0)</f>
        <v>8</v>
      </c>
      <c r="K966" s="98">
        <f>J966-3</f>
        <v>5</v>
      </c>
      <c r="L966" s="98"/>
      <c r="M966" s="98"/>
      <c r="N966" s="98"/>
      <c r="O966" s="98"/>
      <c r="P966" s="98"/>
      <c r="Q966" s="98"/>
      <c r="R966" s="98"/>
    </row>
    <row r="967" spans="1:18" ht="15" customHeight="1">
      <c r="A967" s="267" t="s">
        <v>110</v>
      </c>
      <c r="B967" s="267"/>
      <c r="C967" s="268" t="s">
        <v>42</v>
      </c>
      <c r="D967" s="40" t="s">
        <v>23</v>
      </c>
      <c r="E967" s="69">
        <v>5.187</v>
      </c>
      <c r="G967" s="102" t="str">
        <f aca="true" t="shared" si="6" ref="G967:G972">CONCATENATE(D967," - ",E967,", ")</f>
        <v>Brass scrap - 5.187, </v>
      </c>
      <c r="H967" s="285"/>
      <c r="I967" s="98" t="str">
        <f ca="1">IF(J966&gt;=3,(MID(I966,2,1)&amp;MID(I966,4,4)-K966),CELL("address",Z967))</f>
        <v>G968</v>
      </c>
      <c r="J967" s="98" t="str">
        <f ca="1">IF(J966&gt;=4,(MID(I967,1,1)&amp;MID(I967,2,4)+1),CELL("address",AA967))</f>
        <v>G969</v>
      </c>
      <c r="K967" s="98" t="str">
        <f ca="1">IF(J966&gt;=5,(MID(J967,1,1)&amp;MID(J967,2,4)+1),CELL("address",AB967))</f>
        <v>G970</v>
      </c>
      <c r="L967" s="98" t="str">
        <f ca="1">IF(J966&gt;=6,(MID(K967,1,1)&amp;MID(K967,2,4)+1),CELL("address",AC967))</f>
        <v>G971</v>
      </c>
      <c r="M967" s="98" t="str">
        <f ca="1">IF(J966&gt;=7,(MID(L967,1,1)&amp;MID(L967,2,4)+1),CELL("address",AD967))</f>
        <v>G972</v>
      </c>
      <c r="N967" s="98" t="str">
        <f ca="1">IF(J966&gt;=8,(MID(M967,1,1)&amp;MID(M967,2,4)+1),CELL("address",AE967))</f>
        <v>G973</v>
      </c>
      <c r="O967" s="98" t="str">
        <f ca="1">IF(J966&gt;=9,(MID(N967,1,1)&amp;MID(N967,2,4)+1),CELL("address",AF967))</f>
        <v>$AF$967</v>
      </c>
      <c r="P967" s="98" t="str">
        <f ca="1">IF(J966&gt;=10,(MID(O967,1,1)&amp;MID(O967,2,4)+1),CELL("address",AG967))</f>
        <v>$AG$967</v>
      </c>
      <c r="Q967" s="98" t="str">
        <f ca="1">IF(J966&gt;=11,(MID(P967,1,1)&amp;MID(P967,2,4)+1),CELL("address",AH967))</f>
        <v>$AH$967</v>
      </c>
      <c r="R967" s="98" t="str">
        <f ca="1">IF(J966&gt;=12,(MID(Q967,1,1)&amp;MID(Q967,2,4)+1),CELL("address",AI967))</f>
        <v>$AI$967</v>
      </c>
    </row>
    <row r="968" spans="1:8" ht="15" customHeight="1">
      <c r="A968" s="267"/>
      <c r="B968" s="267"/>
      <c r="C968" s="268"/>
      <c r="D968" s="40" t="s">
        <v>24</v>
      </c>
      <c r="E968" s="69">
        <v>0.926</v>
      </c>
      <c r="G968" s="102" t="str">
        <f t="shared" si="6"/>
        <v>Misc. Aluminium scrap - 0.926, </v>
      </c>
      <c r="H968" s="1"/>
    </row>
    <row r="969" spans="1:15" ht="15" customHeight="1">
      <c r="A969" s="267"/>
      <c r="B969" s="267"/>
      <c r="C969" s="268"/>
      <c r="D969" s="40" t="s">
        <v>27</v>
      </c>
      <c r="E969" s="68">
        <v>0.651</v>
      </c>
      <c r="F969" s="98"/>
      <c r="G969" s="102" t="str">
        <f t="shared" si="6"/>
        <v>Iron scrap - 0.651, </v>
      </c>
      <c r="H969" s="98"/>
      <c r="I969" s="98"/>
      <c r="J969" s="98"/>
      <c r="K969" s="98"/>
      <c r="L969" s="98"/>
      <c r="M969" s="98"/>
      <c r="N969" s="98"/>
      <c r="O969" s="98"/>
    </row>
    <row r="970" spans="1:15" ht="15" customHeight="1">
      <c r="A970" s="267"/>
      <c r="B970" s="267"/>
      <c r="C970" s="268"/>
      <c r="D970" s="40" t="s">
        <v>37</v>
      </c>
      <c r="E970" s="68">
        <v>0.235</v>
      </c>
      <c r="F970" s="98"/>
      <c r="G970" s="102" t="str">
        <f t="shared" si="6"/>
        <v>Burnt Cu scrap - 0.235, </v>
      </c>
      <c r="H970" s="98"/>
      <c r="I970" s="98" t="e">
        <f ca="1">IF(G969&gt;=6,(MID(H970,1,1)&amp;MID(H970,2,4)+1),CELL("address",Z970))</f>
        <v>#VALUE!</v>
      </c>
      <c r="J970" s="98" t="e">
        <f ca="1">IF(G969&gt;=7,(MID(I970,1,1)&amp;MID(I970,2,4)+1),CELL("address",AA970))</f>
        <v>#VALUE!</v>
      </c>
      <c r="K970" s="98" t="e">
        <f ca="1">IF(G969&gt;=8,(MID(J970,1,1)&amp;MID(J970,2,4)+1),CELL("address",AB970))</f>
        <v>#VALUE!</v>
      </c>
      <c r="L970" s="98" t="e">
        <f ca="1">IF(G969&gt;=9,(MID(K970,1,1)&amp;MID(K970,2,4)+1),CELL("address",AC970))</f>
        <v>#VALUE!</v>
      </c>
      <c r="M970" s="98" t="e">
        <f ca="1">IF(G969&gt;=10,(MID(L970,1,1)&amp;MID(L970,2,4)+1),CELL("address",AD970))</f>
        <v>#VALUE!</v>
      </c>
      <c r="N970" s="98" t="e">
        <f ca="1">IF(G969&gt;=11,(MID(M970,1,1)&amp;MID(M970,2,4)+1),CELL("address",AE970))</f>
        <v>#VALUE!</v>
      </c>
      <c r="O970" s="98" t="e">
        <f ca="1">IF(G969&gt;=12,(MID(N970,1,1)&amp;MID(N970,2,4)+1),CELL("address",AF970))</f>
        <v>#VALUE!</v>
      </c>
    </row>
    <row r="971" spans="1:8" ht="15" customHeight="1">
      <c r="A971" s="267"/>
      <c r="B971" s="267"/>
      <c r="C971" s="268"/>
      <c r="D971" s="40" t="s">
        <v>58</v>
      </c>
      <c r="E971" s="68">
        <v>4.092</v>
      </c>
      <c r="G971" s="102" t="str">
        <f t="shared" si="6"/>
        <v>Nuts &amp; Bolts scrap - 4.092, </v>
      </c>
      <c r="H971" s="1"/>
    </row>
    <row r="972" spans="1:8" ht="15" customHeight="1">
      <c r="A972" s="267"/>
      <c r="B972" s="267"/>
      <c r="C972" s="268"/>
      <c r="D972" s="40" t="s">
        <v>64</v>
      </c>
      <c r="E972" s="174">
        <v>0.45</v>
      </c>
      <c r="G972" s="102" t="str">
        <f t="shared" si="6"/>
        <v>Teen Patra scrap - 0.45, </v>
      </c>
      <c r="H972" s="1"/>
    </row>
    <row r="973" spans="1:8" ht="15" customHeight="1">
      <c r="A973" s="39"/>
      <c r="B973" s="42"/>
      <c r="C973" s="222"/>
      <c r="D973" s="40"/>
      <c r="E973" s="174"/>
      <c r="H973" s="1"/>
    </row>
    <row r="974" spans="1:8" ht="15" customHeight="1">
      <c r="A974" s="271"/>
      <c r="B974" s="272"/>
      <c r="C974" s="66"/>
      <c r="D974" s="66"/>
      <c r="E974" s="119">
        <f>SUM(E976:E980)</f>
        <v>3.672</v>
      </c>
      <c r="H974" s="1"/>
    </row>
    <row r="975" spans="1:18" ht="15" customHeight="1">
      <c r="A975" s="267" t="s">
        <v>5</v>
      </c>
      <c r="B975" s="267"/>
      <c r="C975" s="64" t="s">
        <v>17</v>
      </c>
      <c r="D975" s="65" t="s">
        <v>18</v>
      </c>
      <c r="E975" s="68" t="s">
        <v>7</v>
      </c>
      <c r="G975" s="175" t="str">
        <f>CONCATENATE("Misc. Healthy parts/ Non Ferrous  Scrap, Lying at ",C976,". Quantity in MT - ")</f>
        <v>Misc. Healthy parts/ Non Ferrous  Scrap, Lying at OL store Ropar. Quantity in MT - </v>
      </c>
      <c r="H975" s="285" t="str">
        <f ca="1">CONCATENATE(G975,G976,(INDIRECT(I976)),(INDIRECT(J976)),(INDIRECT(K976)),(INDIRECT(L976)),(INDIRECT(M976)),(INDIRECT(N976)),(INDIRECT(O976)),(INDIRECT(P976)),(INDIRECT(Q976)),(INDIRECT(R976)),".")</f>
        <v>Misc. Healthy parts/ Non Ferrous  Scrap, Lying at OL store Ropar. Quantity in MT - Brass scrap - 2.473, Misc. Aluminium scrap - 0.346, Burnt Cu scrap - 0.298, All Alumn. Conductor Scrap - 0.317, Misc. Copper scrap - 0.238, .</v>
      </c>
      <c r="I975" s="98" t="str">
        <f aca="true" ca="1" t="array" ref="I975">CELL("address",INDEX(G975:G997,MATCH(TRUE,ISBLANK(G975:G997),0)))</f>
        <v>$G$981</v>
      </c>
      <c r="J975" s="98">
        <f aca="true" t="array" ref="J975">MATCH(TRUE,ISBLANK(G975:G997),0)</f>
        <v>7</v>
      </c>
      <c r="K975" s="98">
        <f>J975-3</f>
        <v>4</v>
      </c>
      <c r="L975" s="98"/>
      <c r="M975" s="98"/>
      <c r="N975" s="98"/>
      <c r="O975" s="98"/>
      <c r="P975" s="98"/>
      <c r="Q975" s="98"/>
      <c r="R975" s="98"/>
    </row>
    <row r="976" spans="1:18" ht="15" customHeight="1">
      <c r="A976" s="279" t="s">
        <v>26</v>
      </c>
      <c r="B976" s="280"/>
      <c r="C976" s="277" t="s">
        <v>46</v>
      </c>
      <c r="D976" s="40" t="s">
        <v>23</v>
      </c>
      <c r="E976" s="69">
        <v>2.473</v>
      </c>
      <c r="G976" s="102" t="str">
        <f>CONCATENATE(D976," - ",E976,", ")</f>
        <v>Brass scrap - 2.473, </v>
      </c>
      <c r="H976" s="285"/>
      <c r="I976" s="98" t="str">
        <f ca="1">IF(J975&gt;=3,(MID(I975,2,1)&amp;MID(I975,4,4)-K975),CELL("address",Z976))</f>
        <v>G977</v>
      </c>
      <c r="J976" s="98" t="str">
        <f ca="1">IF(J975&gt;=4,(MID(I976,1,1)&amp;MID(I976,2,4)+1),CELL("address",AA976))</f>
        <v>G978</v>
      </c>
      <c r="K976" s="98" t="str">
        <f ca="1">IF(J975&gt;=5,(MID(J976,1,1)&amp;MID(J976,2,4)+1),CELL("address",AB976))</f>
        <v>G979</v>
      </c>
      <c r="L976" s="98" t="str">
        <f ca="1">IF(J975&gt;=6,(MID(K976,1,1)&amp;MID(K976,2,4)+1),CELL("address",AC976))</f>
        <v>G980</v>
      </c>
      <c r="M976" s="98" t="str">
        <f ca="1">IF(J975&gt;=7,(MID(L976,1,1)&amp;MID(L976,2,4)+1),CELL("address",AD976))</f>
        <v>G981</v>
      </c>
      <c r="N976" s="98" t="str">
        <f ca="1">IF(J975&gt;=8,(MID(M976,1,1)&amp;MID(M976,2,4)+1),CELL("address",AE976))</f>
        <v>$AE$976</v>
      </c>
      <c r="O976" s="98" t="str">
        <f ca="1">IF(J975&gt;=9,(MID(N976,1,1)&amp;MID(N976,2,4)+1),CELL("address",AF976))</f>
        <v>$AF$976</v>
      </c>
      <c r="P976" s="98" t="str">
        <f ca="1">IF(J975&gt;=10,(MID(O976,1,1)&amp;MID(O976,2,4)+1),CELL("address",AG976))</f>
        <v>$AG$976</v>
      </c>
      <c r="Q976" s="98" t="str">
        <f ca="1">IF(J975&gt;=11,(MID(P976,1,1)&amp;MID(P976,2,4)+1),CELL("address",AH976))</f>
        <v>$AH$976</v>
      </c>
      <c r="R976" s="98" t="str">
        <f ca="1">IF(J975&gt;=12,(MID(Q976,1,1)&amp;MID(Q976,2,4)+1),CELL("address",AI976))</f>
        <v>$AI$976</v>
      </c>
    </row>
    <row r="977" spans="1:15" ht="15" customHeight="1">
      <c r="A977" s="294"/>
      <c r="B977" s="295"/>
      <c r="C977" s="293"/>
      <c r="D977" s="40" t="s">
        <v>24</v>
      </c>
      <c r="E977" s="69">
        <v>0.346</v>
      </c>
      <c r="F977" s="98"/>
      <c r="G977" s="102" t="str">
        <f>CONCATENATE(D977," - ",E977,", ")</f>
        <v>Misc. Aluminium scrap - 0.346, </v>
      </c>
      <c r="H977" s="98"/>
      <c r="I977" s="98"/>
      <c r="J977" s="98"/>
      <c r="K977" s="98"/>
      <c r="L977" s="98"/>
      <c r="M977" s="98"/>
      <c r="N977" s="98"/>
      <c r="O977" s="98"/>
    </row>
    <row r="978" spans="1:15" ht="15" customHeight="1">
      <c r="A978" s="294"/>
      <c r="B978" s="295"/>
      <c r="C978" s="293"/>
      <c r="D978" s="39" t="s">
        <v>37</v>
      </c>
      <c r="E978" s="69">
        <v>0.298</v>
      </c>
      <c r="F978" s="98"/>
      <c r="G978" s="102" t="str">
        <f>CONCATENATE(D978," - ",E978,", ")</f>
        <v>Burnt Cu scrap - 0.298, </v>
      </c>
      <c r="H978" s="98"/>
      <c r="I978" s="98" t="e">
        <f ca="1">IF(G977&gt;=6,(MID(H978,1,1)&amp;MID(H978,2,4)+1),CELL("address",Z978))</f>
        <v>#VALUE!</v>
      </c>
      <c r="J978" s="98" t="e">
        <f ca="1">IF(G977&gt;=7,(MID(I978,1,1)&amp;MID(I978,2,4)+1),CELL("address",AA978))</f>
        <v>#VALUE!</v>
      </c>
      <c r="K978" s="98" t="e">
        <f ca="1">IF(G977&gt;=8,(MID(J978,1,1)&amp;MID(J978,2,4)+1),CELL("address",AB978))</f>
        <v>#VALUE!</v>
      </c>
      <c r="L978" s="98" t="e">
        <f ca="1">IF(G977&gt;=9,(MID(K978,1,1)&amp;MID(K978,2,4)+1),CELL("address",AC978))</f>
        <v>#VALUE!</v>
      </c>
      <c r="M978" s="98" t="e">
        <f ca="1">IF(G977&gt;=10,(MID(L978,1,1)&amp;MID(L978,2,4)+1),CELL("address",AD978))</f>
        <v>#VALUE!</v>
      </c>
      <c r="N978" s="98" t="e">
        <f ca="1">IF(G977&gt;=11,(MID(M978,1,1)&amp;MID(M978,2,4)+1),CELL("address",AE978))</f>
        <v>#VALUE!</v>
      </c>
      <c r="O978" s="98" t="e">
        <f ca="1">IF(G977&gt;=12,(MID(N978,1,1)&amp;MID(N978,2,4)+1),CELL("address",AF978))</f>
        <v>#VALUE!</v>
      </c>
    </row>
    <row r="979" spans="1:8" ht="15" customHeight="1">
      <c r="A979" s="294"/>
      <c r="B979" s="295"/>
      <c r="C979" s="293"/>
      <c r="D979" s="45" t="s">
        <v>32</v>
      </c>
      <c r="E979" s="69">
        <v>0.317</v>
      </c>
      <c r="G979" s="102" t="str">
        <f>CONCATENATE(D979," - ",E979,", ")</f>
        <v>All Alumn. Conductor Scrap - 0.317, </v>
      </c>
      <c r="H979" s="1"/>
    </row>
    <row r="980" spans="1:8" ht="15" customHeight="1">
      <c r="A980" s="281"/>
      <c r="B980" s="282"/>
      <c r="C980" s="278"/>
      <c r="D980" s="40" t="s">
        <v>45</v>
      </c>
      <c r="E980" s="69">
        <v>0.238</v>
      </c>
      <c r="G980" s="102" t="str">
        <f>CONCATENATE(D980," - ",E980,", ")</f>
        <v>Misc. Copper scrap - 0.238, </v>
      </c>
      <c r="H980" s="1"/>
    </row>
    <row r="981" spans="1:8" ht="15" customHeight="1">
      <c r="A981" s="50"/>
      <c r="B981" s="59"/>
      <c r="C981" s="226"/>
      <c r="D981" s="40"/>
      <c r="E981" s="69"/>
      <c r="H981" s="1"/>
    </row>
    <row r="982" spans="1:15" ht="15" customHeight="1">
      <c r="A982" s="271"/>
      <c r="B982" s="272"/>
      <c r="C982" s="66"/>
      <c r="D982" s="66"/>
      <c r="E982" s="119">
        <f>SUM(E984:E985)</f>
        <v>2.408</v>
      </c>
      <c r="F982" s="98"/>
      <c r="G982" s="98"/>
      <c r="H982" s="98"/>
      <c r="I982" s="98"/>
      <c r="J982" s="98"/>
      <c r="K982" s="98"/>
      <c r="L982" s="98"/>
      <c r="M982" s="98"/>
      <c r="N982" s="98"/>
      <c r="O982" s="98"/>
    </row>
    <row r="983" spans="1:18" ht="15" customHeight="1">
      <c r="A983" s="267" t="s">
        <v>5</v>
      </c>
      <c r="B983" s="267"/>
      <c r="C983" s="64" t="s">
        <v>17</v>
      </c>
      <c r="D983" s="65" t="s">
        <v>18</v>
      </c>
      <c r="E983" s="68" t="s">
        <v>7</v>
      </c>
      <c r="F983" s="98"/>
      <c r="G983" s="175" t="str">
        <f>CONCATENATE("Misc. Healthy parts/ Non Ferrous  Scrap, Lying at ",C984,". Quantity in MT - ")</f>
        <v>Misc. Healthy parts/ Non Ferrous  Scrap, Lying at TRY Ferozepur. Quantity in MT - </v>
      </c>
      <c r="H983" s="285" t="str">
        <f ca="1">CONCATENATE(G983,G984,(INDIRECT(I984)),(INDIRECT(J984)),(INDIRECT(K984)),(INDIRECT(L984)),(INDIRECT(M984)),(INDIRECT(N984)),(INDIRECT(O984)),(INDIRECT(P984)),(INDIRECT(Q984)),(INDIRECT(R984)),".")</f>
        <v>Misc. Healthy parts/ Non Ferrous  Scrap, Lying at TRY Ferozepur. Quantity in MT - Brass scrap - 2.09, Misc. Alumn. Scrap - 0.318, .</v>
      </c>
      <c r="I983" s="98" t="str">
        <f aca="true" ca="1" t="array" ref="I983">CELL("address",INDEX(G983:G1005,MATCH(TRUE,ISBLANK(G983:G1005),0)))</f>
        <v>$G$986</v>
      </c>
      <c r="J983" s="98">
        <f aca="true" t="array" ref="J983">MATCH(TRUE,ISBLANK(G983:G1005),0)</f>
        <v>4</v>
      </c>
      <c r="K983" s="98">
        <f>J983-3</f>
        <v>1</v>
      </c>
      <c r="L983" s="98"/>
      <c r="M983" s="98"/>
      <c r="N983" s="98"/>
      <c r="O983" s="98"/>
      <c r="P983" s="98"/>
      <c r="Q983" s="98"/>
      <c r="R983" s="98"/>
    </row>
    <row r="984" spans="1:18" ht="18" customHeight="1">
      <c r="A984" s="267" t="s">
        <v>38</v>
      </c>
      <c r="B984" s="267"/>
      <c r="C984" s="268" t="s">
        <v>42</v>
      </c>
      <c r="D984" s="45" t="s">
        <v>23</v>
      </c>
      <c r="E984" s="120">
        <v>2.09</v>
      </c>
      <c r="G984" s="102" t="str">
        <f>CONCATENATE(D984," - ",E984,", ")</f>
        <v>Brass scrap - 2.09, </v>
      </c>
      <c r="H984" s="285"/>
      <c r="I984" s="98" t="str">
        <f ca="1">IF(J983&gt;=3,(MID(I983,2,1)&amp;MID(I983,4,4)-K983),CELL("address",Z984))</f>
        <v>G985</v>
      </c>
      <c r="J984" s="98" t="str">
        <f ca="1">IF(J983&gt;=4,(MID(I984,1,1)&amp;MID(I984,2,4)+1),CELL("address",AA984))</f>
        <v>G986</v>
      </c>
      <c r="K984" s="98" t="str">
        <f ca="1">IF(J983&gt;=5,(MID(J984,1,1)&amp;MID(J984,2,4)+1),CELL("address",AB984))</f>
        <v>$AB$984</v>
      </c>
      <c r="L984" s="98" t="str">
        <f ca="1">IF(J983&gt;=6,(MID(K984,1,1)&amp;MID(K984,2,4)+1),CELL("address",AC984))</f>
        <v>$AC$984</v>
      </c>
      <c r="M984" s="98" t="str">
        <f ca="1">IF(J983&gt;=7,(MID(L984,1,1)&amp;MID(L984,2,4)+1),CELL("address",AD984))</f>
        <v>$AD$984</v>
      </c>
      <c r="N984" s="98" t="str">
        <f ca="1">IF(J983&gt;=8,(MID(M984,1,1)&amp;MID(M984,2,4)+1),CELL("address",AE984))</f>
        <v>$AE$984</v>
      </c>
      <c r="O984" s="98" t="str">
        <f ca="1">IF(J983&gt;=9,(MID(N984,1,1)&amp;MID(N984,2,4)+1),CELL("address",AF984))</f>
        <v>$AF$984</v>
      </c>
      <c r="P984" s="98" t="str">
        <f ca="1">IF(J983&gt;=10,(MID(O984,1,1)&amp;MID(O984,2,4)+1),CELL("address",AG984))</f>
        <v>$AG$984</v>
      </c>
      <c r="Q984" s="98" t="str">
        <f ca="1">IF(J983&gt;=11,(MID(P984,1,1)&amp;MID(P984,2,4)+1),CELL("address",AH984))</f>
        <v>$AH$984</v>
      </c>
      <c r="R984" s="98" t="str">
        <f ca="1">IF(J983&gt;=12,(MID(Q984,1,1)&amp;MID(Q984,2,4)+1),CELL("address",AI984))</f>
        <v>$AI$984</v>
      </c>
    </row>
    <row r="985" spans="1:8" ht="19.5" customHeight="1">
      <c r="A985" s="267"/>
      <c r="B985" s="267"/>
      <c r="C985" s="268"/>
      <c r="D985" s="45" t="s">
        <v>31</v>
      </c>
      <c r="E985" s="120">
        <v>0.318</v>
      </c>
      <c r="G985" s="102" t="str">
        <f>CONCATENATE(D985," - ",E985,", ")</f>
        <v>Misc. Alumn. Scrap - 0.318, </v>
      </c>
      <c r="H985" s="1"/>
    </row>
    <row r="986" spans="1:8" ht="15" customHeight="1">
      <c r="A986" s="269"/>
      <c r="B986" s="270"/>
      <c r="C986" s="222"/>
      <c r="D986" s="45"/>
      <c r="E986" s="120"/>
      <c r="H986" s="1"/>
    </row>
    <row r="987" spans="1:8" ht="15" customHeight="1">
      <c r="A987" s="271"/>
      <c r="B987" s="272"/>
      <c r="C987" s="66"/>
      <c r="D987" s="66"/>
      <c r="E987" s="119">
        <f>SUM(E989:E992)</f>
        <v>2.7289999999999996</v>
      </c>
      <c r="H987" s="1"/>
    </row>
    <row r="988" spans="1:18" ht="15" customHeight="1">
      <c r="A988" s="269" t="s">
        <v>5</v>
      </c>
      <c r="B988" s="270"/>
      <c r="C988" s="64" t="s">
        <v>17</v>
      </c>
      <c r="D988" s="65" t="s">
        <v>18</v>
      </c>
      <c r="E988" s="68" t="s">
        <v>7</v>
      </c>
      <c r="G988" s="175" t="str">
        <f>CONCATENATE("Misc. Healthy parts/ Non Ferrous  Scrap, Lying at ",C989,". Quantity in MT - ")</f>
        <v>Misc. Healthy parts/ Non Ferrous  Scrap, Lying at TRY Malerkotla. Quantity in MT - </v>
      </c>
      <c r="H988" s="285" t="str">
        <f ca="1">CONCATENATE(G988,G989,(INDIRECT(I989)),(INDIRECT(J989)),(INDIRECT(K989)),(INDIRECT(L989)),(INDIRECT(M989)),(INDIRECT(N989)),(INDIRECT(O989)),(INDIRECT(P989)),(INDIRECT(Q989)),(INDIRECT(R989)),".")</f>
        <v>Misc. Healthy parts/ Non Ferrous  Scrap, Lying at TRY Malerkotla. Quantity in MT - Brass scrap - 2.114, Misc. Aluminium scrap - 0.183, Burnt Aluminium scrap - 0.287, Burnt Cu scrap - 0.145, .</v>
      </c>
      <c r="I988" s="98" t="str">
        <f aca="true" ca="1" t="array" ref="I988">CELL("address",INDEX(G988:G1010,MATCH(TRUE,ISBLANK(G988:G1010),0)))</f>
        <v>$G$993</v>
      </c>
      <c r="J988" s="98">
        <f aca="true" t="array" ref="J988">MATCH(TRUE,ISBLANK(G988:G1010),0)</f>
        <v>6</v>
      </c>
      <c r="K988" s="98">
        <f>J988-3</f>
        <v>3</v>
      </c>
      <c r="L988" s="98"/>
      <c r="M988" s="98"/>
      <c r="N988" s="98"/>
      <c r="O988" s="98"/>
      <c r="P988" s="98"/>
      <c r="Q988" s="98"/>
      <c r="R988" s="98"/>
    </row>
    <row r="989" spans="1:18" ht="15" customHeight="1">
      <c r="A989" s="267" t="s">
        <v>48</v>
      </c>
      <c r="B989" s="267"/>
      <c r="C989" s="268" t="s">
        <v>28</v>
      </c>
      <c r="D989" s="40" t="s">
        <v>23</v>
      </c>
      <c r="E989" s="69">
        <v>2.114</v>
      </c>
      <c r="F989" s="98"/>
      <c r="G989" s="102" t="str">
        <f>CONCATENATE(D989," - ",E989,", ")</f>
        <v>Brass scrap - 2.114, </v>
      </c>
      <c r="H989" s="285"/>
      <c r="I989" s="98" t="str">
        <f ca="1">IF(J988&gt;=3,(MID(I988,2,1)&amp;MID(I988,4,4)-K988),CELL("address",Z989))</f>
        <v>G990</v>
      </c>
      <c r="J989" s="98" t="str">
        <f ca="1">IF(J988&gt;=4,(MID(I989,1,1)&amp;MID(I989,2,4)+1),CELL("address",AA989))</f>
        <v>G991</v>
      </c>
      <c r="K989" s="98" t="str">
        <f ca="1">IF(J988&gt;=5,(MID(J989,1,1)&amp;MID(J989,2,4)+1),CELL("address",AB989))</f>
        <v>G992</v>
      </c>
      <c r="L989" s="98" t="str">
        <f ca="1">IF(J988&gt;=6,(MID(K989,1,1)&amp;MID(K989,2,4)+1),CELL("address",AC989))</f>
        <v>G993</v>
      </c>
      <c r="M989" s="98" t="str">
        <f ca="1">IF(J988&gt;=7,(MID(L989,1,1)&amp;MID(L989,2,4)+1),CELL("address",AD989))</f>
        <v>$AD$989</v>
      </c>
      <c r="N989" s="98" t="str">
        <f ca="1">IF(J988&gt;=8,(MID(M989,1,1)&amp;MID(M989,2,4)+1),CELL("address",AE989))</f>
        <v>$AE$989</v>
      </c>
      <c r="O989" s="98" t="str">
        <f ca="1">IF(J988&gt;=9,(MID(N989,1,1)&amp;MID(N989,2,4)+1),CELL("address",AF989))</f>
        <v>$AF$989</v>
      </c>
      <c r="P989" s="98" t="str">
        <f ca="1">IF(J988&gt;=10,(MID(O989,1,1)&amp;MID(O989,2,4)+1),CELL("address",AG989))</f>
        <v>$AG$989</v>
      </c>
      <c r="Q989" s="98" t="str">
        <f ca="1">IF(J988&gt;=11,(MID(P989,1,1)&amp;MID(P989,2,4)+1),CELL("address",AH989))</f>
        <v>$AH$989</v>
      </c>
      <c r="R989" s="98" t="str">
        <f ca="1">IF(J988&gt;=12,(MID(Q989,1,1)&amp;MID(Q989,2,4)+1),CELL("address",AI989))</f>
        <v>$AI$989</v>
      </c>
    </row>
    <row r="990" spans="1:15" ht="15" customHeight="1">
      <c r="A990" s="267"/>
      <c r="B990" s="267"/>
      <c r="C990" s="268"/>
      <c r="D990" s="40" t="s">
        <v>24</v>
      </c>
      <c r="E990" s="69">
        <v>0.183</v>
      </c>
      <c r="F990" s="98"/>
      <c r="G990" s="102" t="str">
        <f>CONCATENATE(D990," - ",E990,", ")</f>
        <v>Misc. Aluminium scrap - 0.183, </v>
      </c>
      <c r="H990" s="98"/>
      <c r="I990" s="98" t="e">
        <f ca="1">IF(G989&gt;=6,(MID(H990,1,1)&amp;MID(H990,2,4)+1),CELL("address",Z990))</f>
        <v>#VALUE!</v>
      </c>
      <c r="J990" s="98" t="e">
        <f ca="1">IF(G989&gt;=7,(MID(I990,1,1)&amp;MID(I990,2,4)+1),CELL("address",AA990))</f>
        <v>#VALUE!</v>
      </c>
      <c r="K990" s="98" t="e">
        <f ca="1">IF(G989&gt;=8,(MID(J990,1,1)&amp;MID(J990,2,4)+1),CELL("address",AB990))</f>
        <v>#VALUE!</v>
      </c>
      <c r="L990" s="98" t="e">
        <f ca="1">IF(G989&gt;=9,(MID(K990,1,1)&amp;MID(K990,2,4)+1),CELL("address",AC990))</f>
        <v>#VALUE!</v>
      </c>
      <c r="M990" s="98" t="e">
        <f ca="1">IF(G989&gt;=10,(MID(L990,1,1)&amp;MID(L990,2,4)+1),CELL("address",AD990))</f>
        <v>#VALUE!</v>
      </c>
      <c r="N990" s="98" t="e">
        <f ca="1">IF(G989&gt;=11,(MID(M990,1,1)&amp;MID(M990,2,4)+1),CELL("address",AE990))</f>
        <v>#VALUE!</v>
      </c>
      <c r="O990" s="98" t="e">
        <f ca="1">IF(G989&gt;=12,(MID(N990,1,1)&amp;MID(N990,2,4)+1),CELL("address",AF990))</f>
        <v>#VALUE!</v>
      </c>
    </row>
    <row r="991" spans="1:8" ht="15" customHeight="1">
      <c r="A991" s="267"/>
      <c r="B991" s="267"/>
      <c r="C991" s="268"/>
      <c r="D991" s="40" t="s">
        <v>41</v>
      </c>
      <c r="E991" s="69">
        <v>0.287</v>
      </c>
      <c r="G991" s="102" t="str">
        <f>CONCATENATE(D991," - ",E991,", ")</f>
        <v>Burnt Aluminium scrap - 0.287, </v>
      </c>
      <c r="H991" s="1"/>
    </row>
    <row r="992" spans="1:8" ht="15" customHeight="1">
      <c r="A992" s="267"/>
      <c r="B992" s="267"/>
      <c r="C992" s="268"/>
      <c r="D992" s="40" t="s">
        <v>37</v>
      </c>
      <c r="E992" s="68">
        <v>0.145</v>
      </c>
      <c r="G992" s="102" t="str">
        <f>CONCATENATE(D992," - ",E992,", ")</f>
        <v>Burnt Cu scrap - 0.145, </v>
      </c>
      <c r="H992" s="1"/>
    </row>
    <row r="993" spans="1:8" ht="15" customHeight="1">
      <c r="A993" s="39"/>
      <c r="B993" s="42"/>
      <c r="C993" s="222"/>
      <c r="D993" s="40"/>
      <c r="E993" s="68"/>
      <c r="H993" s="1"/>
    </row>
    <row r="994" spans="1:8" ht="15" customHeight="1">
      <c r="A994" s="271"/>
      <c r="B994" s="272"/>
      <c r="C994" s="66"/>
      <c r="D994" s="66"/>
      <c r="E994" s="119">
        <f>SUM(E996:E999)</f>
        <v>0.418</v>
      </c>
      <c r="H994" s="1"/>
    </row>
    <row r="995" spans="1:18" ht="15" customHeight="1">
      <c r="A995" s="267" t="s">
        <v>5</v>
      </c>
      <c r="B995" s="267"/>
      <c r="C995" s="64" t="s">
        <v>17</v>
      </c>
      <c r="D995" s="65" t="s">
        <v>18</v>
      </c>
      <c r="E995" s="68" t="s">
        <v>7</v>
      </c>
      <c r="G995" s="175" t="str">
        <f>CONCATENATE("Misc. Healthy parts/ Non Ferrous  Scrap, Lying at ",C996,". Quantity in MT - ")</f>
        <v>Misc. Healthy parts/ Non Ferrous  Scrap, Lying at CS Mohali. Quantity in MT - </v>
      </c>
      <c r="H995" s="285" t="str">
        <f ca="1">CONCATENATE(G995,G996,(INDIRECT(I996)),(INDIRECT(J996)),(INDIRECT(K996)),(INDIRECT(L996)),(INDIRECT(M996)),(INDIRECT(N996)),(INDIRECT(O996)),(INDIRECT(P996)),(INDIRECT(Q996)),(INDIRECT(R996)),".")</f>
        <v>Misc. Healthy parts/ Non Ferrous  Scrap, Lying at CS Mohali. Quantity in MT - Misc. Copper scrap - 0.313, Burnt Cu scrap - 0.041, All Alumn. Conductor Scrap - 0.054, Brass scrap - 0.01, .</v>
      </c>
      <c r="I995" s="98" t="str">
        <f aca="true" ca="1" t="array" ref="I995">CELL("address",INDEX(G995:G1018,MATCH(TRUE,ISBLANK(G995:G1018),0)))</f>
        <v>$G$1000</v>
      </c>
      <c r="J995" s="98">
        <f aca="true" t="array" ref="J995">MATCH(TRUE,ISBLANK(G995:G1018),0)</f>
        <v>6</v>
      </c>
      <c r="K995" s="98">
        <f>J995-3</f>
        <v>3</v>
      </c>
      <c r="L995" s="98"/>
      <c r="M995" s="98"/>
      <c r="N995" s="98"/>
      <c r="O995" s="98"/>
      <c r="P995" s="98"/>
      <c r="Q995" s="98"/>
      <c r="R995" s="98"/>
    </row>
    <row r="996" spans="1:18" ht="15" customHeight="1">
      <c r="A996" s="267" t="s">
        <v>39</v>
      </c>
      <c r="B996" s="267"/>
      <c r="C996" s="268" t="s">
        <v>62</v>
      </c>
      <c r="D996" s="40" t="s">
        <v>45</v>
      </c>
      <c r="E996" s="69">
        <v>0.313</v>
      </c>
      <c r="F996" s="98"/>
      <c r="G996" s="102" t="str">
        <f>CONCATENATE(D996," - ",E996,", ")</f>
        <v>Misc. Copper scrap - 0.313, </v>
      </c>
      <c r="H996" s="285"/>
      <c r="I996" s="98" t="str">
        <f ca="1">IF(J995&gt;=3,(MID(I995,2,1)&amp;MID(I995,4,4)-K995),CELL("address",Z996))</f>
        <v>G997</v>
      </c>
      <c r="J996" s="98" t="str">
        <f ca="1">IF(J995&gt;=4,(MID(I996,1,1)&amp;MID(I996,2,4)+1),CELL("address",AA996))</f>
        <v>G998</v>
      </c>
      <c r="K996" s="98" t="str">
        <f ca="1">IF(J995&gt;=5,(MID(J996,1,1)&amp;MID(J996,2,4)+1),CELL("address",AB996))</f>
        <v>G999</v>
      </c>
      <c r="L996" s="98" t="str">
        <f ca="1">IF(J995&gt;=6,(MID(K996,1,1)&amp;MID(K996,2,4)+1),CELL("address",AC996))</f>
        <v>G1000</v>
      </c>
      <c r="M996" s="98" t="str">
        <f ca="1">IF(J995&gt;=7,(MID(L996,1,1)&amp;MID(L996,2,4)+1),CELL("address",AD996))</f>
        <v>$AD$996</v>
      </c>
      <c r="N996" s="98" t="str">
        <f ca="1">IF(J995&gt;=8,(MID(M996,1,1)&amp;MID(M996,2,4)+1),CELL("address",AE996))</f>
        <v>$AE$996</v>
      </c>
      <c r="O996" s="98" t="str">
        <f ca="1">IF(J995&gt;=9,(MID(N996,1,1)&amp;MID(N996,2,4)+1),CELL("address",AF996))</f>
        <v>$AF$996</v>
      </c>
      <c r="P996" s="98" t="str">
        <f ca="1">IF(J995&gt;=10,(MID(O996,1,1)&amp;MID(O996,2,4)+1),CELL("address",AG996))</f>
        <v>$AG$996</v>
      </c>
      <c r="Q996" s="98" t="str">
        <f ca="1">IF(J995&gt;=11,(MID(P996,1,1)&amp;MID(P996,2,4)+1),CELL("address",AH996))</f>
        <v>$AH$996</v>
      </c>
      <c r="R996" s="98" t="str">
        <f ca="1">IF(J995&gt;=12,(MID(Q996,1,1)&amp;MID(Q996,2,4)+1),CELL("address",AI996))</f>
        <v>$AI$996</v>
      </c>
    </row>
    <row r="997" spans="1:15" ht="15" customHeight="1">
      <c r="A997" s="267"/>
      <c r="B997" s="267"/>
      <c r="C997" s="268"/>
      <c r="D997" s="39" t="s">
        <v>37</v>
      </c>
      <c r="E997" s="69">
        <v>0.041</v>
      </c>
      <c r="F997" s="98"/>
      <c r="G997" s="102" t="str">
        <f>CONCATENATE(D997," - ",E997,", ")</f>
        <v>Burnt Cu scrap - 0.041, </v>
      </c>
      <c r="H997" s="98"/>
      <c r="I997" s="98" t="e">
        <f ca="1">IF(G996&gt;=6,(MID(H997,1,1)&amp;MID(H997,2,4)+1),CELL("address",Z997))</f>
        <v>#VALUE!</v>
      </c>
      <c r="J997" s="98" t="e">
        <f ca="1">IF(G996&gt;=7,(MID(I997,1,1)&amp;MID(I997,2,4)+1),CELL("address",AA997))</f>
        <v>#VALUE!</v>
      </c>
      <c r="K997" s="98" t="e">
        <f ca="1">IF(G996&gt;=8,(MID(J997,1,1)&amp;MID(J997,2,4)+1),CELL("address",AB997))</f>
        <v>#VALUE!</v>
      </c>
      <c r="L997" s="98" t="e">
        <f ca="1">IF(G996&gt;=9,(MID(K997,1,1)&amp;MID(K997,2,4)+1),CELL("address",AC997))</f>
        <v>#VALUE!</v>
      </c>
      <c r="M997" s="98" t="e">
        <f ca="1">IF(G996&gt;=10,(MID(L997,1,1)&amp;MID(L997,2,4)+1),CELL("address",AD997))</f>
        <v>#VALUE!</v>
      </c>
      <c r="N997" s="98" t="e">
        <f ca="1">IF(G996&gt;=11,(MID(M997,1,1)&amp;MID(M997,2,4)+1),CELL("address",AE997))</f>
        <v>#VALUE!</v>
      </c>
      <c r="O997" s="98" t="e">
        <f ca="1">IF(G996&gt;=12,(MID(N997,1,1)&amp;MID(N997,2,4)+1),CELL("address",AF997))</f>
        <v>#VALUE!</v>
      </c>
    </row>
    <row r="998" spans="1:8" ht="15" customHeight="1">
      <c r="A998" s="267"/>
      <c r="B998" s="267"/>
      <c r="C998" s="268"/>
      <c r="D998" s="45" t="s">
        <v>32</v>
      </c>
      <c r="E998" s="69">
        <v>0.054</v>
      </c>
      <c r="G998" s="102" t="str">
        <f>CONCATENATE(D998," - ",E998,", ")</f>
        <v>All Alumn. Conductor Scrap - 0.054, </v>
      </c>
      <c r="H998" s="1"/>
    </row>
    <row r="999" spans="1:8" ht="15" customHeight="1">
      <c r="A999" s="267"/>
      <c r="B999" s="267"/>
      <c r="C999" s="268"/>
      <c r="D999" s="40" t="s">
        <v>23</v>
      </c>
      <c r="E999" s="69">
        <v>0.01</v>
      </c>
      <c r="G999" s="102" t="str">
        <f>CONCATENATE(D999," - ",E999,", ")</f>
        <v>Brass scrap - 0.01, </v>
      </c>
      <c r="H999" s="1"/>
    </row>
    <row r="1000" spans="1:15" ht="15" customHeight="1">
      <c r="A1000" s="39"/>
      <c r="B1000" s="42"/>
      <c r="C1000" s="222"/>
      <c r="D1000" s="40"/>
      <c r="E1000" s="69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</row>
    <row r="1001" spans="1:15" ht="15" customHeight="1">
      <c r="A1001" s="269"/>
      <c r="B1001" s="270"/>
      <c r="C1001" s="222"/>
      <c r="D1001" s="40"/>
      <c r="E1001" s="119">
        <f>E1003</f>
        <v>0.092</v>
      </c>
      <c r="F1001" s="98"/>
      <c r="G1001" s="98"/>
      <c r="H1001" s="98"/>
      <c r="I1001" s="98" t="str">
        <f ca="1">IF(G1000&gt;=6,(MID(H1001,1,1)&amp;MID(H1001,2,4)+1),CELL("address",Z1001))</f>
        <v>$Z$1001</v>
      </c>
      <c r="J1001" s="98" t="str">
        <f ca="1">IF(G1000&gt;=7,(MID(I1001,1,1)&amp;MID(I1001,2,4)+1),CELL("address",AA1001))</f>
        <v>$AA$1001</v>
      </c>
      <c r="K1001" s="98" t="str">
        <f ca="1">IF(G1000&gt;=8,(MID(J1001,1,1)&amp;MID(J1001,2,4)+1),CELL("address",AB1001))</f>
        <v>$AB$1001</v>
      </c>
      <c r="L1001" s="98" t="str">
        <f ca="1">IF(G1000&gt;=9,(MID(K1001,1,1)&amp;MID(K1001,2,4)+1),CELL("address",AC1001))</f>
        <v>$AC$1001</v>
      </c>
      <c r="M1001" s="98" t="str">
        <f ca="1">IF(G1000&gt;=10,(MID(L1001,1,1)&amp;MID(L1001,2,4)+1),CELL("address",AD1001))</f>
        <v>$AD$1001</v>
      </c>
      <c r="N1001" s="98" t="str">
        <f ca="1">IF(G1000&gt;=11,(MID(M1001,1,1)&amp;MID(M1001,2,4)+1),CELL("address",AE1001))</f>
        <v>$AE$1001</v>
      </c>
      <c r="O1001" s="98" t="str">
        <f ca="1">IF(G1000&gt;=12,(MID(N1001,1,1)&amp;MID(N1001,2,4)+1),CELL("address",AF1001))</f>
        <v>$AF$1001</v>
      </c>
    </row>
    <row r="1002" spans="1:18" ht="15" customHeight="1">
      <c r="A1002" s="267" t="s">
        <v>5</v>
      </c>
      <c r="B1002" s="267"/>
      <c r="C1002" s="64" t="s">
        <v>17</v>
      </c>
      <c r="D1002" s="65" t="s">
        <v>18</v>
      </c>
      <c r="E1002" s="68" t="s">
        <v>7</v>
      </c>
      <c r="G1002" s="175" t="str">
        <f>CONCATENATE("Misc. Healthy parts/ Non Ferrous  Scrap, Lying at ",C1003,". Quantity in MT - ")</f>
        <v>Misc. Healthy parts/ Non Ferrous  Scrap, Lying at OL store Patran. Quantity in MT - </v>
      </c>
      <c r="H1002" s="285" t="str">
        <f ca="1">CONCATENATE(G1002,G1003,(INDIRECT(I1003)),(INDIRECT(J1003)),(INDIRECT(K1003)),(INDIRECT(L1003)),(INDIRECT(M1003)),(INDIRECT(N1003)),(INDIRECT(O1003)),(INDIRECT(P1003)),(INDIRECT(Q1003)),(INDIRECT(R1003)),".")</f>
        <v>Misc. Healthy parts/ Non Ferrous  Scrap, Lying at OL store Patran. Quantity in MT - Misc. Copper scrap - 0.092, .</v>
      </c>
      <c r="I1002" s="98" t="str">
        <f aca="true" ca="1" t="array" ref="I1002">CELL("address",INDEX(G1002:G1025,MATCH(TRUE,ISBLANK(G1002:G1025),0)))</f>
        <v>$G$1004</v>
      </c>
      <c r="J1002" s="98">
        <f aca="true" t="array" ref="J1002">MATCH(TRUE,ISBLANK(G1002:G1025),0)</f>
        <v>3</v>
      </c>
      <c r="K1002" s="98">
        <f>J1002-3</f>
        <v>0</v>
      </c>
      <c r="L1002" s="98"/>
      <c r="M1002" s="98"/>
      <c r="N1002" s="98"/>
      <c r="O1002" s="98"/>
      <c r="P1002" s="98"/>
      <c r="Q1002" s="98"/>
      <c r="R1002" s="98"/>
    </row>
    <row r="1003" spans="1:18" ht="15" customHeight="1">
      <c r="A1003" s="267" t="s">
        <v>40</v>
      </c>
      <c r="B1003" s="267"/>
      <c r="C1003" s="222" t="s">
        <v>101</v>
      </c>
      <c r="D1003" s="40" t="s">
        <v>45</v>
      </c>
      <c r="E1003" s="69">
        <v>0.092</v>
      </c>
      <c r="G1003" s="102" t="str">
        <f>CONCATENATE(D1003," - ",E1003,", ")</f>
        <v>Misc. Copper scrap - 0.092, </v>
      </c>
      <c r="H1003" s="285"/>
      <c r="I1003" s="98" t="str">
        <f ca="1">IF(J1002&gt;=3,(MID(I1002,2,1)&amp;MID(I1002,4,4)-K1002),CELL("address",Z1003))</f>
        <v>G1004</v>
      </c>
      <c r="J1003" s="98" t="str">
        <f ca="1">IF(J1002&gt;=4,(MID(I1003,1,1)&amp;MID(I1003,2,4)+1),CELL("address",AA1003))</f>
        <v>$AA$1003</v>
      </c>
      <c r="K1003" s="98" t="str">
        <f ca="1">IF(J1002&gt;=5,(MID(J1003,1,1)&amp;MID(J1003,2,4)+1),CELL("address",AB1003))</f>
        <v>$AB$1003</v>
      </c>
      <c r="L1003" s="98" t="str">
        <f ca="1">IF(J1002&gt;=6,(MID(K1003,1,1)&amp;MID(K1003,2,4)+1),CELL("address",AC1003))</f>
        <v>$AC$1003</v>
      </c>
      <c r="M1003" s="98" t="str">
        <f ca="1">IF(J1002&gt;=7,(MID(L1003,1,1)&amp;MID(L1003,2,4)+1),CELL("address",AD1003))</f>
        <v>$AD$1003</v>
      </c>
      <c r="N1003" s="98" t="str">
        <f ca="1">IF(J1002&gt;=8,(MID(M1003,1,1)&amp;MID(M1003,2,4)+1),CELL("address",AE1003))</f>
        <v>$AE$1003</v>
      </c>
      <c r="O1003" s="98" t="str">
        <f ca="1">IF(J1002&gt;=9,(MID(N1003,1,1)&amp;MID(N1003,2,4)+1),CELL("address",AF1003))</f>
        <v>$AF$1003</v>
      </c>
      <c r="P1003" s="98" t="str">
        <f ca="1">IF(J1002&gt;=10,(MID(O1003,1,1)&amp;MID(O1003,2,4)+1),CELL("address",AG1003))</f>
        <v>$AG$1003</v>
      </c>
      <c r="Q1003" s="98" t="str">
        <f ca="1">IF(J1002&gt;=11,(MID(P1003,1,1)&amp;MID(P1003,2,4)+1),CELL("address",AH1003))</f>
        <v>$AH$1003</v>
      </c>
      <c r="R1003" s="98" t="str">
        <f ca="1">IF(J1002&gt;=12,(MID(Q1003,1,1)&amp;MID(Q1003,2,4)+1),CELL("address",AI1003))</f>
        <v>$AI$1003</v>
      </c>
    </row>
    <row r="1004" spans="1:8" ht="15" customHeight="1">
      <c r="A1004" s="50"/>
      <c r="B1004" s="59"/>
      <c r="C1004" s="226"/>
      <c r="D1004" s="40"/>
      <c r="E1004" s="46"/>
      <c r="H1004" s="1"/>
    </row>
    <row r="1005" spans="1:8" ht="15" customHeight="1">
      <c r="A1005" s="50"/>
      <c r="B1005" s="59"/>
      <c r="C1005" s="226"/>
      <c r="D1005" s="45"/>
      <c r="E1005" s="67">
        <f>SUM(E1007:E1011)</f>
        <v>1.022</v>
      </c>
      <c r="H1005" s="1"/>
    </row>
    <row r="1006" spans="1:18" ht="15" customHeight="1">
      <c r="A1006" s="267" t="s">
        <v>5</v>
      </c>
      <c r="B1006" s="267"/>
      <c r="C1006" s="64" t="s">
        <v>17</v>
      </c>
      <c r="D1006" s="65" t="s">
        <v>18</v>
      </c>
      <c r="E1006" s="64" t="s">
        <v>7</v>
      </c>
      <c r="G1006" s="175" t="str">
        <f>CONCATENATE("Misc. Healthy parts/ Non Ferrous  Scrap, Lying at ",C1007,". Quantity in MT - ")</f>
        <v>Misc. Healthy parts/ Non Ferrous  Scrap, Lying at CS Patiala. Quantity in MT - </v>
      </c>
      <c r="H1006" s="285" t="str">
        <f ca="1">CONCATENATE(G1006,G1007,(INDIRECT(I1007)),(INDIRECT(J1007)),(INDIRECT(K1007)),(INDIRECT(L1007)),(INDIRECT(M1007)),(INDIRECT(N1007)),(INDIRECT(O1007)),(INDIRECT(P1007)),(INDIRECT(Q1007)),(INDIRECT(R1007)),".")</f>
        <v>Misc. Healthy parts/ Non Ferrous  Scrap, Lying at CS Patiala. Quantity in MT - Misc. Alumn. Scrap - 0.101, Misc. copper scrap - 0.218, Burnt copper scrap - 0.022, Brass scrap - 0.653, All Alumn. Conductor Scrap - 0.028, .</v>
      </c>
      <c r="I1006" s="98" t="str">
        <f aca="true" ca="1" t="array" ref="I1006">CELL("address",INDEX(G1006:G1029,MATCH(TRUE,ISBLANK(G1006:G1029),0)))</f>
        <v>$G$1012</v>
      </c>
      <c r="J1006" s="98">
        <f aca="true" t="array" ref="J1006">MATCH(TRUE,ISBLANK(G1006:G1029),0)</f>
        <v>7</v>
      </c>
      <c r="K1006" s="98">
        <f>J1006-3</f>
        <v>4</v>
      </c>
      <c r="L1006" s="98"/>
      <c r="M1006" s="98"/>
      <c r="N1006" s="98"/>
      <c r="O1006" s="98"/>
      <c r="P1006" s="98"/>
      <c r="Q1006" s="98"/>
      <c r="R1006" s="98"/>
    </row>
    <row r="1007" spans="1:18" ht="15" customHeight="1">
      <c r="A1007" s="267" t="s">
        <v>80</v>
      </c>
      <c r="B1007" s="267"/>
      <c r="C1007" s="268" t="s">
        <v>52</v>
      </c>
      <c r="D1007" s="60" t="s">
        <v>31</v>
      </c>
      <c r="E1007" s="47">
        <v>0.101</v>
      </c>
      <c r="F1007" s="98"/>
      <c r="G1007" s="102" t="str">
        <f>CONCATENATE(D1007," - ",E1007,", ")</f>
        <v>Misc. Alumn. Scrap - 0.101, </v>
      </c>
      <c r="H1007" s="285"/>
      <c r="I1007" s="98" t="str">
        <f ca="1">IF(J1006&gt;=3,(MID(I1006,2,1)&amp;MID(I1006,4,4)-K1006),CELL("address",Z1007))</f>
        <v>G1008</v>
      </c>
      <c r="J1007" s="98" t="str">
        <f ca="1">IF(J1006&gt;=4,(MID(I1007,1,1)&amp;MID(I1007,2,4)+1),CELL("address",AA1007))</f>
        <v>G1009</v>
      </c>
      <c r="K1007" s="98" t="str">
        <f ca="1">IF(J1006&gt;=5,(MID(J1007,1,1)&amp;MID(J1007,2,4)+1),CELL("address",AB1007))</f>
        <v>G1010</v>
      </c>
      <c r="L1007" s="98" t="str">
        <f ca="1">IF(J1006&gt;=6,(MID(K1007,1,1)&amp;MID(K1007,2,4)+1),CELL("address",AC1007))</f>
        <v>G1011</v>
      </c>
      <c r="M1007" s="98" t="str">
        <f ca="1">IF(J1006&gt;=7,(MID(L1007,1,1)&amp;MID(L1007,2,4)+1),CELL("address",AD1007))</f>
        <v>G1012</v>
      </c>
      <c r="N1007" s="98" t="str">
        <f ca="1">IF(J1006&gt;=8,(MID(M1007,1,1)&amp;MID(M1007,2,4)+1),CELL("address",AE1007))</f>
        <v>$AE$1007</v>
      </c>
      <c r="O1007" s="98" t="str">
        <f ca="1">IF(J1006&gt;=9,(MID(N1007,1,1)&amp;MID(N1007,2,4)+1),CELL("address",AF1007))</f>
        <v>$AF$1007</v>
      </c>
      <c r="P1007" s="98" t="str">
        <f ca="1">IF(J1006&gt;=10,(MID(O1007,1,1)&amp;MID(O1007,2,4)+1),CELL("address",AG1007))</f>
        <v>$AG$1007</v>
      </c>
      <c r="Q1007" s="98" t="str">
        <f ca="1">IF(J1006&gt;=11,(MID(P1007,1,1)&amp;MID(P1007,2,4)+1),CELL("address",AH1007))</f>
        <v>$AH$1007</v>
      </c>
      <c r="R1007" s="98" t="str">
        <f ca="1">IF(J1006&gt;=12,(MID(Q1007,1,1)&amp;MID(Q1007,2,4)+1),CELL("address",AI1007))</f>
        <v>$AI$1007</v>
      </c>
    </row>
    <row r="1008" spans="1:15" ht="15" customHeight="1">
      <c r="A1008" s="267"/>
      <c r="B1008" s="267"/>
      <c r="C1008" s="268"/>
      <c r="D1008" s="60" t="s">
        <v>111</v>
      </c>
      <c r="E1008" s="64">
        <v>0.218</v>
      </c>
      <c r="F1008" s="98"/>
      <c r="G1008" s="102" t="str">
        <f>CONCATENATE(D1008," - ",E1008,", ")</f>
        <v>Misc. copper scrap - 0.218, </v>
      </c>
      <c r="H1008" s="98"/>
      <c r="I1008" s="98" t="e">
        <f ca="1">IF(G1007&gt;=6,(MID(H1008,1,1)&amp;MID(H1008,2,4)+1),CELL("address",Z1008))</f>
        <v>#VALUE!</v>
      </c>
      <c r="J1008" s="98" t="e">
        <f ca="1">IF(G1007&gt;=7,(MID(I1008,1,1)&amp;MID(I1008,2,4)+1),CELL("address",AA1008))</f>
        <v>#VALUE!</v>
      </c>
      <c r="K1008" s="98" t="e">
        <f ca="1">IF(G1007&gt;=8,(MID(J1008,1,1)&amp;MID(J1008,2,4)+1),CELL("address",AB1008))</f>
        <v>#VALUE!</v>
      </c>
      <c r="L1008" s="98" t="e">
        <f ca="1">IF(G1007&gt;=9,(MID(K1008,1,1)&amp;MID(K1008,2,4)+1),CELL("address",AC1008))</f>
        <v>#VALUE!</v>
      </c>
      <c r="M1008" s="98" t="e">
        <f ca="1">IF(G1007&gt;=10,(MID(L1008,1,1)&amp;MID(L1008,2,4)+1),CELL("address",AD1008))</f>
        <v>#VALUE!</v>
      </c>
      <c r="N1008" s="98" t="e">
        <f ca="1">IF(G1007&gt;=11,(MID(M1008,1,1)&amp;MID(M1008,2,4)+1),CELL("address",AE1008))</f>
        <v>#VALUE!</v>
      </c>
      <c r="O1008" s="98" t="e">
        <f ca="1">IF(G1007&gt;=12,(MID(N1008,1,1)&amp;MID(N1008,2,4)+1),CELL("address",AF1008))</f>
        <v>#VALUE!</v>
      </c>
    </row>
    <row r="1009" spans="1:8" ht="15" customHeight="1">
      <c r="A1009" s="267"/>
      <c r="B1009" s="267"/>
      <c r="C1009" s="268"/>
      <c r="D1009" s="60" t="s">
        <v>47</v>
      </c>
      <c r="E1009" s="64">
        <v>0.022</v>
      </c>
      <c r="G1009" s="102" t="str">
        <f>CONCATENATE(D1009," - ",E1009,", ")</f>
        <v>Burnt copper scrap - 0.022, </v>
      </c>
      <c r="H1009" s="1"/>
    </row>
    <row r="1010" spans="1:8" ht="15" customHeight="1">
      <c r="A1010" s="267"/>
      <c r="B1010" s="267"/>
      <c r="C1010" s="268"/>
      <c r="D1010" s="40" t="s">
        <v>23</v>
      </c>
      <c r="E1010" s="64">
        <v>0.653</v>
      </c>
      <c r="G1010" s="102" t="str">
        <f>CONCATENATE(D1010," - ",E1010,", ")</f>
        <v>Brass scrap - 0.653, </v>
      </c>
      <c r="H1010" s="1"/>
    </row>
    <row r="1011" spans="1:8" ht="15" customHeight="1">
      <c r="A1011" s="267"/>
      <c r="B1011" s="267"/>
      <c r="C1011" s="268"/>
      <c r="D1011" s="45" t="s">
        <v>32</v>
      </c>
      <c r="E1011" s="64">
        <v>0.028</v>
      </c>
      <c r="G1011" s="212" t="str">
        <f>CONCATENATE(D1011," - ",E1011,", ")</f>
        <v>All Alumn. Conductor Scrap - 0.028, </v>
      </c>
      <c r="H1011" s="1"/>
    </row>
    <row r="1012" spans="1:8" ht="15" customHeight="1">
      <c r="A1012" s="214"/>
      <c r="B1012" s="215"/>
      <c r="C1012" s="213"/>
      <c r="D1012" s="60"/>
      <c r="E1012" s="64"/>
      <c r="H1012" s="1"/>
    </row>
    <row r="1013" spans="1:8" ht="15" customHeight="1">
      <c r="A1013" s="271"/>
      <c r="B1013" s="272"/>
      <c r="C1013" s="66"/>
      <c r="D1013" s="66"/>
      <c r="E1013" s="67">
        <f>SUM(E1015:E1022)</f>
        <v>4.923</v>
      </c>
      <c r="H1013" s="1"/>
    </row>
    <row r="1014" spans="1:18" ht="15" customHeight="1">
      <c r="A1014" s="279" t="s">
        <v>5</v>
      </c>
      <c r="B1014" s="280"/>
      <c r="C1014" s="64" t="s">
        <v>17</v>
      </c>
      <c r="D1014" s="65" t="s">
        <v>18</v>
      </c>
      <c r="E1014" s="68" t="s">
        <v>7</v>
      </c>
      <c r="G1014" s="175" t="str">
        <f>CONCATENATE("Misc. Healthy parts/ Non Ferrous  Scrap, Lying at ",C1015,". Quantity in MT - ")</f>
        <v>Misc. Healthy parts/ Non Ferrous  Scrap, Lying at CS Kotkapura. Quantity in MT - </v>
      </c>
      <c r="H1014" s="285" t="str">
        <f ca="1">CONCATENATE(G1014,G1015,(INDIRECT(I1015)),(INDIRECT(J1015)),(INDIRECT(K1015)),(INDIRECT(L1015)),(INDIRECT(M1015)),(INDIRECT(N1015)),(INDIRECT(O1015)),(INDIRECT(P1015)),(INDIRECT(Q1015)),(INDIRECT(R1015)),".")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1014" s="98" t="str">
        <f aca="true" ca="1" t="array" ref="I1014">CELL("address",INDEX(G1014:G1036,MATCH(TRUE,ISBLANK(G1014:G1036),0)))</f>
        <v>$G$1023</v>
      </c>
      <c r="J1014" s="98">
        <f aca="true" t="array" ref="J1014">MATCH(TRUE,ISBLANK(G1014:G1036),0)</f>
        <v>10</v>
      </c>
      <c r="K1014" s="98">
        <f>J1014-3</f>
        <v>7</v>
      </c>
      <c r="L1014" s="98"/>
      <c r="M1014" s="98"/>
      <c r="N1014" s="98"/>
      <c r="O1014" s="98"/>
      <c r="P1014" s="98"/>
      <c r="Q1014" s="98"/>
      <c r="R1014" s="98"/>
    </row>
    <row r="1015" spans="1:18" ht="15" customHeight="1">
      <c r="A1015" s="267" t="s">
        <v>667</v>
      </c>
      <c r="B1015" s="267"/>
      <c r="C1015" s="268" t="s">
        <v>43</v>
      </c>
      <c r="D1015" s="40" t="s">
        <v>23</v>
      </c>
      <c r="E1015" s="69">
        <v>4.046</v>
      </c>
      <c r="G1015" s="102" t="str">
        <f aca="true" t="shared" si="7" ref="G1015:G1022">CONCATENATE(D1015," - ",E1015,", ")</f>
        <v>Brass scrap - 4.046, </v>
      </c>
      <c r="H1015" s="285"/>
      <c r="I1015" s="98" t="str">
        <f ca="1">IF(J1014&gt;=3,(MID(I1014,2,1)&amp;MID(I1014,4,4)-K1014),CELL("address",Z1015))</f>
        <v>G1016</v>
      </c>
      <c r="J1015" s="98" t="str">
        <f ca="1">IF(J1014&gt;=4,(MID(I1015,1,1)&amp;MID(I1015,2,4)+1),CELL("address",AA1015))</f>
        <v>G1017</v>
      </c>
      <c r="K1015" s="98" t="str">
        <f ca="1">IF(J1014&gt;=5,(MID(J1015,1,1)&amp;MID(J1015,2,4)+1),CELL("address",AB1015))</f>
        <v>G1018</v>
      </c>
      <c r="L1015" s="98" t="str">
        <f ca="1">IF(J1014&gt;=6,(MID(K1015,1,1)&amp;MID(K1015,2,4)+1),CELL("address",AC1015))</f>
        <v>G1019</v>
      </c>
      <c r="M1015" s="98" t="str">
        <f ca="1">IF(J1014&gt;=7,(MID(L1015,1,1)&amp;MID(L1015,2,4)+1),CELL("address",AD1015))</f>
        <v>G1020</v>
      </c>
      <c r="N1015" s="98" t="str">
        <f ca="1">IF(J1014&gt;=8,(MID(M1015,1,1)&amp;MID(M1015,2,4)+1),CELL("address",AE1015))</f>
        <v>G1021</v>
      </c>
      <c r="O1015" s="98" t="str">
        <f ca="1">IF(J1014&gt;=9,(MID(N1015,1,1)&amp;MID(N1015,2,4)+1),CELL("address",AF1015))</f>
        <v>G1022</v>
      </c>
      <c r="P1015" s="98" t="str">
        <f ca="1">IF(J1014&gt;=10,(MID(O1015,1,1)&amp;MID(O1015,2,4)+1),CELL("address",AG1015))</f>
        <v>G1023</v>
      </c>
      <c r="Q1015" s="98" t="str">
        <f ca="1">IF(J1014&gt;=11,(MID(P1015,1,1)&amp;MID(P1015,2,4)+1),CELL("address",AH1015))</f>
        <v>$AH$1015</v>
      </c>
      <c r="R1015" s="98" t="str">
        <f ca="1">IF(J1014&gt;=12,(MID(Q1015,1,1)&amp;MID(Q1015,2,4)+1),CELL("address",AI1015))</f>
        <v>$AI$1015</v>
      </c>
    </row>
    <row r="1016" spans="1:8" ht="15" customHeight="1">
      <c r="A1016" s="267"/>
      <c r="B1016" s="267"/>
      <c r="C1016" s="268"/>
      <c r="D1016" s="40" t="s">
        <v>45</v>
      </c>
      <c r="E1016" s="69">
        <v>0.066</v>
      </c>
      <c r="G1016" s="102" t="str">
        <f t="shared" si="7"/>
        <v>Misc. Copper scrap - 0.066, </v>
      </c>
      <c r="H1016" s="1"/>
    </row>
    <row r="1017" spans="1:8" ht="15" customHeight="1">
      <c r="A1017" s="267"/>
      <c r="B1017" s="267"/>
      <c r="C1017" s="268"/>
      <c r="D1017" s="39" t="s">
        <v>37</v>
      </c>
      <c r="E1017" s="69">
        <v>0.325</v>
      </c>
      <c r="G1017" s="102" t="str">
        <f t="shared" si="7"/>
        <v>Burnt Cu scrap - 0.325, </v>
      </c>
      <c r="H1017" s="1"/>
    </row>
    <row r="1018" spans="1:8" ht="15" customHeight="1">
      <c r="A1018" s="267"/>
      <c r="B1018" s="267"/>
      <c r="C1018" s="268"/>
      <c r="D1018" s="40" t="s">
        <v>24</v>
      </c>
      <c r="E1018" s="69">
        <v>0.205</v>
      </c>
      <c r="G1018" s="102" t="str">
        <f t="shared" si="7"/>
        <v>Misc. Aluminium scrap - 0.205, </v>
      </c>
      <c r="H1018" s="1"/>
    </row>
    <row r="1019" spans="1:15" ht="15" customHeight="1">
      <c r="A1019" s="267"/>
      <c r="B1019" s="267"/>
      <c r="C1019" s="268"/>
      <c r="D1019" s="39" t="s">
        <v>41</v>
      </c>
      <c r="E1019" s="69">
        <v>0.055</v>
      </c>
      <c r="F1019" s="98"/>
      <c r="G1019" s="102" t="str">
        <f t="shared" si="7"/>
        <v>Burnt Aluminium scrap - 0.055, </v>
      </c>
      <c r="H1019" s="98"/>
      <c r="I1019" s="98"/>
      <c r="J1019" s="98"/>
      <c r="K1019" s="98"/>
      <c r="L1019" s="98"/>
      <c r="M1019" s="98"/>
      <c r="N1019" s="98"/>
      <c r="O1019" s="98"/>
    </row>
    <row r="1020" spans="1:15" ht="15" customHeight="1">
      <c r="A1020" s="267"/>
      <c r="B1020" s="267"/>
      <c r="C1020" s="268"/>
      <c r="D1020" s="39" t="s">
        <v>389</v>
      </c>
      <c r="E1020" s="69">
        <v>0.09</v>
      </c>
      <c r="F1020" s="98"/>
      <c r="G1020" s="102" t="str">
        <f t="shared" si="7"/>
        <v>All Alum scrap - 0.09, </v>
      </c>
      <c r="H1020" s="98"/>
      <c r="I1020" s="98" t="e">
        <f ca="1">IF(G1019&gt;=6,(MID(H1020,1,1)&amp;MID(H1020,2,4)+1),CELL("address",Z1020))</f>
        <v>#VALUE!</v>
      </c>
      <c r="J1020" s="98" t="e">
        <f ca="1">IF(G1019&gt;=7,(MID(I1020,1,1)&amp;MID(I1020,2,4)+1),CELL("address",AA1020))</f>
        <v>#VALUE!</v>
      </c>
      <c r="K1020" s="98" t="e">
        <f ca="1">IF(G1019&gt;=8,(MID(J1020,1,1)&amp;MID(J1020,2,4)+1),CELL("address",AB1020))</f>
        <v>#VALUE!</v>
      </c>
      <c r="L1020" s="98" t="e">
        <f ca="1">IF(G1019&gt;=9,(MID(K1020,1,1)&amp;MID(K1020,2,4)+1),CELL("address",AC1020))</f>
        <v>#VALUE!</v>
      </c>
      <c r="M1020" s="98" t="e">
        <f ca="1">IF(G1019&gt;=10,(MID(L1020,1,1)&amp;MID(L1020,2,4)+1),CELL("address",AD1020))</f>
        <v>#VALUE!</v>
      </c>
      <c r="N1020" s="98" t="e">
        <f ca="1">IF(G1019&gt;=11,(MID(M1020,1,1)&amp;MID(M1020,2,4)+1),CELL("address",AE1020))</f>
        <v>#VALUE!</v>
      </c>
      <c r="O1020" s="98" t="e">
        <f ca="1">IF(G1019&gt;=12,(MID(N1020,1,1)&amp;MID(N1020,2,4)+1),CELL("address",AF1020))</f>
        <v>#VALUE!</v>
      </c>
    </row>
    <row r="1021" spans="1:8" ht="15" customHeight="1">
      <c r="A1021" s="267"/>
      <c r="B1021" s="267"/>
      <c r="C1021" s="268"/>
      <c r="D1021" s="39" t="s">
        <v>390</v>
      </c>
      <c r="E1021" s="69">
        <v>0.096</v>
      </c>
      <c r="G1021" s="102" t="str">
        <f t="shared" si="7"/>
        <v>Alu scrap of damaged T/F accessories - 0.096, </v>
      </c>
      <c r="H1021" s="1"/>
    </row>
    <row r="1022" spans="1:8" ht="15" customHeight="1">
      <c r="A1022" s="267"/>
      <c r="B1022" s="267"/>
      <c r="C1022" s="268"/>
      <c r="D1022" s="39" t="s">
        <v>391</v>
      </c>
      <c r="E1022" s="69">
        <v>0.04</v>
      </c>
      <c r="G1022" s="102" t="str">
        <f t="shared" si="7"/>
        <v>Copper scrap - 0.04, </v>
      </c>
      <c r="H1022" s="1"/>
    </row>
    <row r="1023" spans="1:8" ht="15" customHeight="1">
      <c r="A1023" s="50"/>
      <c r="B1023" s="59"/>
      <c r="C1023" s="226"/>
      <c r="D1023" s="39"/>
      <c r="E1023" s="69"/>
      <c r="H1023" s="1"/>
    </row>
    <row r="1024" spans="1:15" ht="15" customHeight="1">
      <c r="A1024" s="50"/>
      <c r="B1024" s="59"/>
      <c r="C1024" s="226"/>
      <c r="D1024" s="45"/>
      <c r="E1024" s="67">
        <f>SUM(E1026:E1027)</f>
        <v>0.628</v>
      </c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</row>
    <row r="1025" spans="1:18" ht="15" customHeight="1">
      <c r="A1025" s="267" t="s">
        <v>5</v>
      </c>
      <c r="B1025" s="267"/>
      <c r="C1025" s="64" t="s">
        <v>17</v>
      </c>
      <c r="D1025" s="65" t="s">
        <v>18</v>
      </c>
      <c r="E1025" s="64" t="s">
        <v>7</v>
      </c>
      <c r="F1025" s="98"/>
      <c r="G1025" s="175" t="str">
        <f>CONCATENATE("Misc. Healthy parts/ Non Ferrous  Scrap, Lying at ",C1026,". Quantity in MT - ")</f>
        <v>Misc. Healthy parts/ Non Ferrous  Scrap, Lying at OL store Malerkotla. Quantity in MT - </v>
      </c>
      <c r="H1025" s="285" t="str">
        <f ca="1">CONCATENATE(G1025,G1026,(INDIRECT(I1026)),(INDIRECT(J1026)),(INDIRECT(K1026)),(INDIRECT(L1026)),(INDIRECT(M1026)),(INDIRECT(N1026)),(INDIRECT(O1026)),(INDIRECT(P1026)),(INDIRECT(Q1026)),(INDIRECT(R1026)),".")</f>
        <v>Misc. Healthy parts/ Non Ferrous  Scrap, Lying at OL store Malerkotla. Quantity in MT - Misc. Alumn. Scrap - 0.028, Misc. copper scrap - 0.6, .</v>
      </c>
      <c r="I1025" s="98" t="str">
        <f aca="true" ca="1" t="array" ref="I1025">CELL("address",INDEX(G1025:G1047,MATCH(TRUE,ISBLANK(G1025:G1047),0)))</f>
        <v>$G$1028</v>
      </c>
      <c r="J1025" s="98">
        <f aca="true" t="array" ref="J1025">MATCH(TRUE,ISBLANK(G1025:G1047),0)</f>
        <v>4</v>
      </c>
      <c r="K1025" s="98">
        <f>J1025-3</f>
        <v>1</v>
      </c>
      <c r="L1025" s="98"/>
      <c r="M1025" s="98"/>
      <c r="N1025" s="98"/>
      <c r="O1025" s="98"/>
      <c r="P1025" s="98"/>
      <c r="Q1025" s="98"/>
      <c r="R1025" s="98"/>
    </row>
    <row r="1026" spans="1:18" ht="15" customHeight="1">
      <c r="A1026" s="279" t="s">
        <v>44</v>
      </c>
      <c r="B1026" s="280"/>
      <c r="C1026" s="277" t="s">
        <v>116</v>
      </c>
      <c r="D1026" s="60" t="s">
        <v>31</v>
      </c>
      <c r="E1026" s="47">
        <v>0.028</v>
      </c>
      <c r="G1026" s="102" t="str">
        <f>CONCATENATE(D1026," - ",E1026,", ")</f>
        <v>Misc. Alumn. Scrap - 0.028, </v>
      </c>
      <c r="H1026" s="285"/>
      <c r="I1026" s="98" t="str">
        <f ca="1">IF(J1025&gt;=3,(MID(I1025,2,1)&amp;MID(I1025,4,4)-K1025),CELL("address",Z1026))</f>
        <v>G1027</v>
      </c>
      <c r="J1026" s="98" t="str">
        <f ca="1">IF(J1025&gt;=4,(MID(I1026,1,1)&amp;MID(I1026,2,4)+1),CELL("address",AA1026))</f>
        <v>G1028</v>
      </c>
      <c r="K1026" s="98" t="str">
        <f ca="1">IF(J1025&gt;=5,(MID(J1026,1,1)&amp;MID(J1026,2,4)+1),CELL("address",AB1026))</f>
        <v>$AB$1026</v>
      </c>
      <c r="L1026" s="98" t="str">
        <f ca="1">IF(J1025&gt;=6,(MID(K1026,1,1)&amp;MID(K1026,2,4)+1),CELL("address",AC1026))</f>
        <v>$AC$1026</v>
      </c>
      <c r="M1026" s="98" t="str">
        <f ca="1">IF(J1025&gt;=7,(MID(L1026,1,1)&amp;MID(L1026,2,4)+1),CELL("address",AD1026))</f>
        <v>$AD$1026</v>
      </c>
      <c r="N1026" s="98" t="str">
        <f ca="1">IF(J1025&gt;=8,(MID(M1026,1,1)&amp;MID(M1026,2,4)+1),CELL("address",AE1026))</f>
        <v>$AE$1026</v>
      </c>
      <c r="O1026" s="98" t="str">
        <f ca="1">IF(J1025&gt;=9,(MID(N1026,1,1)&amp;MID(N1026,2,4)+1),CELL("address",AF1026))</f>
        <v>$AF$1026</v>
      </c>
      <c r="P1026" s="98" t="str">
        <f ca="1">IF(J1025&gt;=10,(MID(O1026,1,1)&amp;MID(O1026,2,4)+1),CELL("address",AG1026))</f>
        <v>$AG$1026</v>
      </c>
      <c r="Q1026" s="98" t="str">
        <f ca="1">IF(J1025&gt;=11,(MID(P1026,1,1)&amp;MID(P1026,2,4)+1),CELL("address",AH1026))</f>
        <v>$AH$1026</v>
      </c>
      <c r="R1026" s="98" t="str">
        <f ca="1">IF(J1025&gt;=12,(MID(Q1026,1,1)&amp;MID(Q1026,2,4)+1),CELL("address",AI1026))</f>
        <v>$AI$1026</v>
      </c>
    </row>
    <row r="1027" spans="1:8" ht="15" customHeight="1">
      <c r="A1027" s="281"/>
      <c r="B1027" s="282"/>
      <c r="C1027" s="278"/>
      <c r="D1027" s="60" t="s">
        <v>111</v>
      </c>
      <c r="E1027" s="64">
        <v>0.6</v>
      </c>
      <c r="G1027" s="102" t="str">
        <f>CONCATENATE(D1027," - ",E1027,", ")</f>
        <v>Misc. copper scrap - 0.6, </v>
      </c>
      <c r="H1027" s="1"/>
    </row>
    <row r="1028" spans="1:8" ht="15" customHeight="1">
      <c r="A1028" s="269"/>
      <c r="B1028" s="270"/>
      <c r="C1028" s="222"/>
      <c r="D1028" s="60"/>
      <c r="E1028" s="64"/>
      <c r="H1028" s="1"/>
    </row>
    <row r="1029" spans="1:15" ht="15" customHeight="1">
      <c r="A1029" s="271"/>
      <c r="B1029" s="272"/>
      <c r="C1029" s="66"/>
      <c r="D1029" s="66"/>
      <c r="E1029" s="67">
        <f>SUM(E1031:E1032)</f>
        <v>0.067</v>
      </c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</row>
    <row r="1030" spans="1:18" ht="15" customHeight="1">
      <c r="A1030" s="267" t="s">
        <v>5</v>
      </c>
      <c r="B1030" s="267"/>
      <c r="C1030" s="64" t="s">
        <v>17</v>
      </c>
      <c r="D1030" s="65" t="s">
        <v>18</v>
      </c>
      <c r="E1030" s="64" t="s">
        <v>7</v>
      </c>
      <c r="F1030" s="98"/>
      <c r="G1030" s="175" t="str">
        <f>CONCATENATE("Misc. Healthy parts/ Non Ferrous  Scrap, Lying at ",C1031,". Quantity in MT - ")</f>
        <v>Misc. Healthy parts/ Non Ferrous  Scrap, Lying at TRY Malerkotla. Quantity in MT - </v>
      </c>
      <c r="H1030" s="285" t="str">
        <f ca="1">CONCATENATE(G1030,G1031,(INDIRECT(I1031)),(INDIRECT(J1031)),(INDIRECT(K1031)),(INDIRECT(L1031)),(INDIRECT(M1031)),(INDIRECT(N1031)),(INDIRECT(O1031)),(INDIRECT(P1031)),(INDIRECT(Q1031)),(INDIRECT(R1031)),".")</f>
        <v>Misc. Healthy parts/ Non Ferrous  Scrap, Lying at TRY Malerkotla. Quantity in MT - Brass scrap - 0.062, Misc. Alumn. Scrap - 0.005, .</v>
      </c>
      <c r="I1030" s="98" t="str">
        <f aca="true" ca="1" t="array" ref="I1030">CELL("address",INDEX(G1030:G1052,MATCH(TRUE,ISBLANK(G1030:G1052),0)))</f>
        <v>$G$1033</v>
      </c>
      <c r="J1030" s="98">
        <f aca="true" t="array" ref="J1030">MATCH(TRUE,ISBLANK(G1030:G1052),0)</f>
        <v>4</v>
      </c>
      <c r="K1030" s="98">
        <f>J1030-3</f>
        <v>1</v>
      </c>
      <c r="L1030" s="98"/>
      <c r="M1030" s="98"/>
      <c r="N1030" s="98"/>
      <c r="O1030" s="98"/>
      <c r="P1030" s="98"/>
      <c r="Q1030" s="98"/>
      <c r="R1030" s="98"/>
    </row>
    <row r="1031" spans="1:18" ht="15" customHeight="1">
      <c r="A1031" s="267" t="s">
        <v>53</v>
      </c>
      <c r="B1031" s="267"/>
      <c r="C1031" s="268" t="s">
        <v>28</v>
      </c>
      <c r="D1031" s="45" t="s">
        <v>23</v>
      </c>
      <c r="E1031" s="45">
        <v>0.062</v>
      </c>
      <c r="G1031" s="102" t="str">
        <f>CONCATENATE(D1031," - ",E1031,", ")</f>
        <v>Brass scrap - 0.062, </v>
      </c>
      <c r="H1031" s="285"/>
      <c r="I1031" s="98" t="str">
        <f ca="1">IF(J1030&gt;=3,(MID(I1030,2,1)&amp;MID(I1030,4,4)-K1030),CELL("address",Z1031))</f>
        <v>G1032</v>
      </c>
      <c r="J1031" s="98" t="str">
        <f ca="1">IF(J1030&gt;=4,(MID(I1031,1,1)&amp;MID(I1031,2,4)+1),CELL("address",AA1031))</f>
        <v>G1033</v>
      </c>
      <c r="K1031" s="98" t="str">
        <f ca="1">IF(J1030&gt;=5,(MID(J1031,1,1)&amp;MID(J1031,2,4)+1),CELL("address",AB1031))</f>
        <v>$AB$1031</v>
      </c>
      <c r="L1031" s="98" t="str">
        <f ca="1">IF(J1030&gt;=6,(MID(K1031,1,1)&amp;MID(K1031,2,4)+1),CELL("address",AC1031))</f>
        <v>$AC$1031</v>
      </c>
      <c r="M1031" s="98" t="str">
        <f ca="1">IF(J1030&gt;=7,(MID(L1031,1,1)&amp;MID(L1031,2,4)+1),CELL("address",AD1031))</f>
        <v>$AD$1031</v>
      </c>
      <c r="N1031" s="98" t="str">
        <f ca="1">IF(J1030&gt;=8,(MID(M1031,1,1)&amp;MID(M1031,2,4)+1),CELL("address",AE1031))</f>
        <v>$AE$1031</v>
      </c>
      <c r="O1031" s="98" t="str">
        <f ca="1">IF(J1030&gt;=9,(MID(N1031,1,1)&amp;MID(N1031,2,4)+1),CELL("address",AF1031))</f>
        <v>$AF$1031</v>
      </c>
      <c r="P1031" s="98" t="str">
        <f ca="1">IF(J1030&gt;=10,(MID(O1031,1,1)&amp;MID(O1031,2,4)+1),CELL("address",AG1031))</f>
        <v>$AG$1031</v>
      </c>
      <c r="Q1031" s="98" t="str">
        <f ca="1">IF(J1030&gt;=11,(MID(P1031,1,1)&amp;MID(P1031,2,4)+1),CELL("address",AH1031))</f>
        <v>$AH$1031</v>
      </c>
      <c r="R1031" s="98" t="str">
        <f ca="1">IF(J1030&gt;=12,(MID(Q1031,1,1)&amp;MID(Q1031,2,4)+1),CELL("address",AI1031))</f>
        <v>$AI$1031</v>
      </c>
    </row>
    <row r="1032" spans="1:8" ht="15" customHeight="1">
      <c r="A1032" s="267"/>
      <c r="B1032" s="267"/>
      <c r="C1032" s="268"/>
      <c r="D1032" s="45" t="s">
        <v>31</v>
      </c>
      <c r="E1032" s="64">
        <v>0.005</v>
      </c>
      <c r="G1032" s="102" t="str">
        <f>CONCATENATE(D1032," - ",E1032,", ")</f>
        <v>Misc. Alumn. Scrap - 0.005, </v>
      </c>
      <c r="H1032" s="1"/>
    </row>
    <row r="1033" spans="1:8" ht="15" customHeight="1">
      <c r="A1033" s="269"/>
      <c r="B1033" s="270"/>
      <c r="C1033" s="222"/>
      <c r="D1033" s="45"/>
      <c r="E1033" s="64"/>
      <c r="H1033" s="1"/>
    </row>
    <row r="1034" spans="1:8" ht="15" customHeight="1">
      <c r="A1034" s="271"/>
      <c r="B1034" s="272"/>
      <c r="C1034" s="66"/>
      <c r="D1034" s="66"/>
      <c r="E1034" s="67">
        <f>SUM(E1036:E1040)</f>
        <v>1.432</v>
      </c>
      <c r="H1034" s="1"/>
    </row>
    <row r="1035" spans="1:18" ht="15" customHeight="1">
      <c r="A1035" s="269" t="s">
        <v>5</v>
      </c>
      <c r="B1035" s="270"/>
      <c r="C1035" s="64" t="s">
        <v>17</v>
      </c>
      <c r="D1035" s="65" t="s">
        <v>18</v>
      </c>
      <c r="E1035" s="64" t="s">
        <v>7</v>
      </c>
      <c r="G1035" s="175" t="str">
        <f>CONCATENATE("Misc. Healthy parts/ Non Ferrous  Scrap, Lying at ",C1036,". Quantity in MT - ")</f>
        <v>Misc. Healthy parts/ Non Ferrous  Scrap, Lying at TRY Patran. Quantity in MT - </v>
      </c>
      <c r="H1035" s="285" t="str">
        <f ca="1">CONCATENATE(G1035,G1036,(INDIRECT(I1036)),(INDIRECT(J1036)),(INDIRECT(K1036)),(INDIRECT(L1036)),(INDIRECT(M1036)),(INDIRECT(N1036)),(INDIRECT(O1036)),(INDIRECT(P1036)),(INDIRECT(Q1036)),(INDIRECT(R1036)),".")</f>
        <v>Misc. Healthy parts/ Non Ferrous  Scrap, Lying at TRY Patran. Quantity in MT - Brass scrap - 0.642, Misc. Aluminium scrap - 0.071, Burnt Cu scrap - 0.028, Ms Nuts &amp; Bolts - 0.6, Iron scrap - 0.091, .</v>
      </c>
      <c r="I1035" s="98" t="str">
        <f aca="true" ca="1" t="array" ref="I1035">CELL("address",INDEX(G1035:G1057,MATCH(TRUE,ISBLANK(G1035:G1057),0)))</f>
        <v>$G$1041</v>
      </c>
      <c r="J1035" s="98">
        <f aca="true" t="array" ref="J1035">MATCH(TRUE,ISBLANK(G1035:G1057),0)</f>
        <v>7</v>
      </c>
      <c r="K1035" s="98">
        <f>J1035-3</f>
        <v>4</v>
      </c>
      <c r="L1035" s="98"/>
      <c r="M1035" s="98"/>
      <c r="N1035" s="98"/>
      <c r="O1035" s="98"/>
      <c r="P1035" s="98"/>
      <c r="Q1035" s="98"/>
      <c r="R1035" s="98"/>
    </row>
    <row r="1036" spans="1:18" ht="15" customHeight="1">
      <c r="A1036" s="267" t="s">
        <v>115</v>
      </c>
      <c r="B1036" s="267"/>
      <c r="C1036" s="277" t="s">
        <v>136</v>
      </c>
      <c r="D1036" s="40" t="s">
        <v>23</v>
      </c>
      <c r="E1036" s="46">
        <v>0.642</v>
      </c>
      <c r="G1036" s="102" t="str">
        <f>CONCATENATE(D1036," - ",E1036,", ")</f>
        <v>Brass scrap - 0.642, </v>
      </c>
      <c r="H1036" s="285"/>
      <c r="I1036" s="98" t="str">
        <f ca="1">IF(J1035&gt;=3,(MID(I1035,2,1)&amp;MID(I1035,4,4)-K1035),CELL("address",Z1036))</f>
        <v>G1037</v>
      </c>
      <c r="J1036" s="98" t="str">
        <f ca="1">IF(J1035&gt;=4,(MID(I1036,1,1)&amp;MID(I1036,2,4)+1),CELL("address",AA1036))</f>
        <v>G1038</v>
      </c>
      <c r="K1036" s="98" t="str">
        <f ca="1">IF(J1035&gt;=5,(MID(J1036,1,1)&amp;MID(J1036,2,4)+1),CELL("address",AB1036))</f>
        <v>G1039</v>
      </c>
      <c r="L1036" s="98" t="str">
        <f ca="1">IF(J1035&gt;=6,(MID(K1036,1,1)&amp;MID(K1036,2,4)+1),CELL("address",AC1036))</f>
        <v>G1040</v>
      </c>
      <c r="M1036" s="98" t="str">
        <f ca="1">IF(J1035&gt;=7,(MID(L1036,1,1)&amp;MID(L1036,2,4)+1),CELL("address",AD1036))</f>
        <v>G1041</v>
      </c>
      <c r="N1036" s="98" t="str">
        <f ca="1">IF(J1035&gt;=8,(MID(M1036,1,1)&amp;MID(M1036,2,4)+1),CELL("address",AE1036))</f>
        <v>$AE$1036</v>
      </c>
      <c r="O1036" s="98" t="str">
        <f ca="1">IF(J1035&gt;=9,(MID(N1036,1,1)&amp;MID(N1036,2,4)+1),CELL("address",AF1036))</f>
        <v>$AF$1036</v>
      </c>
      <c r="P1036" s="98" t="str">
        <f ca="1">IF(J1035&gt;=10,(MID(O1036,1,1)&amp;MID(O1036,2,4)+1),CELL("address",AG1036))</f>
        <v>$AG$1036</v>
      </c>
      <c r="Q1036" s="98" t="str">
        <f ca="1">IF(J1035&gt;=11,(MID(P1036,1,1)&amp;MID(P1036,2,4)+1),CELL("address",AH1036))</f>
        <v>$AH$1036</v>
      </c>
      <c r="R1036" s="98" t="str">
        <f ca="1">IF(J1035&gt;=12,(MID(Q1036,1,1)&amp;MID(Q1036,2,4)+1),CELL("address",AI1036))</f>
        <v>$AI$1036</v>
      </c>
    </row>
    <row r="1037" spans="1:15" ht="15" customHeight="1">
      <c r="A1037" s="267"/>
      <c r="B1037" s="267"/>
      <c r="C1037" s="293"/>
      <c r="D1037" s="40" t="s">
        <v>24</v>
      </c>
      <c r="E1037" s="46">
        <v>0.071</v>
      </c>
      <c r="F1037" s="98"/>
      <c r="G1037" s="102" t="str">
        <f>CONCATENATE(D1037," - ",E1037,", ")</f>
        <v>Misc. Aluminium scrap - 0.071, </v>
      </c>
      <c r="H1037" s="98"/>
      <c r="I1037" s="98"/>
      <c r="J1037" s="98"/>
      <c r="K1037" s="98"/>
      <c r="L1037" s="98"/>
      <c r="M1037" s="98"/>
      <c r="N1037" s="98"/>
      <c r="O1037" s="98"/>
    </row>
    <row r="1038" spans="1:15" ht="15" customHeight="1">
      <c r="A1038" s="267"/>
      <c r="B1038" s="267"/>
      <c r="C1038" s="293"/>
      <c r="D1038" s="40" t="s">
        <v>37</v>
      </c>
      <c r="E1038" s="46">
        <v>0.028</v>
      </c>
      <c r="F1038" s="98"/>
      <c r="G1038" s="102" t="str">
        <f>CONCATENATE(D1038," - ",E1038,", ")</f>
        <v>Burnt Cu scrap - 0.028, </v>
      </c>
      <c r="H1038" s="98"/>
      <c r="I1038" s="98" t="e">
        <f ca="1">IF(G1037&gt;=6,(MID(H1038,1,1)&amp;MID(H1038,2,4)+1),CELL("address",Z1038))</f>
        <v>#VALUE!</v>
      </c>
      <c r="J1038" s="98" t="e">
        <f ca="1">IF(G1037&gt;=7,(MID(I1038,1,1)&amp;MID(I1038,2,4)+1),CELL("address",AA1038))</f>
        <v>#VALUE!</v>
      </c>
      <c r="K1038" s="98" t="e">
        <f ca="1">IF(G1037&gt;=8,(MID(J1038,1,1)&amp;MID(J1038,2,4)+1),CELL("address",AB1038))</f>
        <v>#VALUE!</v>
      </c>
      <c r="L1038" s="98" t="e">
        <f ca="1">IF(G1037&gt;=9,(MID(K1038,1,1)&amp;MID(K1038,2,4)+1),CELL("address",AC1038))</f>
        <v>#VALUE!</v>
      </c>
      <c r="M1038" s="98" t="e">
        <f ca="1">IF(G1037&gt;=10,(MID(L1038,1,1)&amp;MID(L1038,2,4)+1),CELL("address",AD1038))</f>
        <v>#VALUE!</v>
      </c>
      <c r="N1038" s="98" t="e">
        <f ca="1">IF(G1037&gt;=11,(MID(M1038,1,1)&amp;MID(M1038,2,4)+1),CELL("address",AE1038))</f>
        <v>#VALUE!</v>
      </c>
      <c r="O1038" s="98" t="e">
        <f ca="1">IF(G1037&gt;=12,(MID(N1038,1,1)&amp;MID(N1038,2,4)+1),CELL("address",AF1038))</f>
        <v>#VALUE!</v>
      </c>
    </row>
    <row r="1039" spans="1:8" ht="15" customHeight="1">
      <c r="A1039" s="267"/>
      <c r="B1039" s="267"/>
      <c r="C1039" s="293"/>
      <c r="D1039" s="45" t="s">
        <v>147</v>
      </c>
      <c r="E1039" s="46">
        <v>0.6</v>
      </c>
      <c r="G1039" s="102" t="str">
        <f>CONCATENATE(D1039," - ",E1039,", ")</f>
        <v>Ms Nuts &amp; Bolts - 0.6, </v>
      </c>
      <c r="H1039" s="1"/>
    </row>
    <row r="1040" spans="1:8" ht="15" customHeight="1">
      <c r="A1040" s="267"/>
      <c r="B1040" s="267"/>
      <c r="C1040" s="278"/>
      <c r="D1040" s="40" t="s">
        <v>27</v>
      </c>
      <c r="E1040" s="46">
        <v>0.091</v>
      </c>
      <c r="G1040" s="102" t="str">
        <f>CONCATENATE(D1040," - ",E1040,", ")</f>
        <v>Iron scrap - 0.091, </v>
      </c>
      <c r="H1040" s="1"/>
    </row>
    <row r="1041" spans="1:8" ht="15" customHeight="1">
      <c r="A1041" s="50"/>
      <c r="B1041" s="59"/>
      <c r="C1041" s="226"/>
      <c r="D1041" s="45"/>
      <c r="E1041" s="46"/>
      <c r="H1041" s="1"/>
    </row>
    <row r="1042" spans="1:15" ht="15" customHeight="1">
      <c r="A1042" s="271"/>
      <c r="B1042" s="272"/>
      <c r="C1042" s="66"/>
      <c r="D1042" s="66"/>
      <c r="E1042" s="67">
        <f>SUM(E1044:E1045)</f>
        <v>0.8340000000000001</v>
      </c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</row>
    <row r="1043" spans="1:18" ht="15" customHeight="1">
      <c r="A1043" s="267" t="s">
        <v>5</v>
      </c>
      <c r="B1043" s="267"/>
      <c r="C1043" s="64" t="s">
        <v>17</v>
      </c>
      <c r="D1043" s="65" t="s">
        <v>18</v>
      </c>
      <c r="E1043" s="64" t="s">
        <v>7</v>
      </c>
      <c r="F1043" s="98"/>
      <c r="G1043" s="175" t="str">
        <f>CONCATENATE("Misc. Healthy parts/ Non Ferrous  Scrap, Lying at ",C1044,". Quantity in MT - ")</f>
        <v>Misc. Healthy parts/ Non Ferrous  Scrap, Lying at TRY Patran. Quantity in MT - </v>
      </c>
      <c r="H1043" s="285" t="str">
        <f ca="1">CONCATENATE(G1043,G1044,(INDIRECT(I1044)),(INDIRECT(J1044)),(INDIRECT(K1044)),(INDIRECT(L1044)),(INDIRECT(M1044)),(INDIRECT(N1044)),(INDIRECT(O1044)),(INDIRECT(P1044)),(INDIRECT(Q1044)),(INDIRECT(R1044)),".")</f>
        <v>Misc. Healthy parts/ Non Ferrous  Scrap, Lying at TRY Patran. Quantity in MT - Brass scrap - 0.783, Misc. Alumn. Scrap - 0.051, .</v>
      </c>
      <c r="I1043" s="98" t="str">
        <f aca="true" ca="1" t="array" ref="I1043">CELL("address",INDEX(G1043:G1065,MATCH(TRUE,ISBLANK(G1043:G1065),0)))</f>
        <v>$G$1046</v>
      </c>
      <c r="J1043" s="98">
        <f aca="true" t="array" ref="J1043">MATCH(TRUE,ISBLANK(G1043:G1065),0)</f>
        <v>4</v>
      </c>
      <c r="K1043" s="98">
        <f>J1043-3</f>
        <v>1</v>
      </c>
      <c r="L1043" s="98"/>
      <c r="M1043" s="98"/>
      <c r="N1043" s="98"/>
      <c r="O1043" s="98"/>
      <c r="P1043" s="98"/>
      <c r="Q1043" s="98"/>
      <c r="R1043" s="98"/>
    </row>
    <row r="1044" spans="1:18" ht="15" customHeight="1">
      <c r="A1044" s="267" t="s">
        <v>117</v>
      </c>
      <c r="B1044" s="267"/>
      <c r="C1044" s="268" t="s">
        <v>136</v>
      </c>
      <c r="D1044" s="45" t="s">
        <v>23</v>
      </c>
      <c r="E1044" s="45">
        <v>0.783</v>
      </c>
      <c r="G1044" s="102" t="str">
        <f>CONCATENATE(D1044," - ",E1044,", ")</f>
        <v>Brass scrap - 0.783, </v>
      </c>
      <c r="H1044" s="285"/>
      <c r="I1044" s="98" t="str">
        <f ca="1">IF(J1043&gt;=3,(MID(I1043,2,1)&amp;MID(I1043,4,4)-K1043),CELL("address",Z1044))</f>
        <v>G1045</v>
      </c>
      <c r="J1044" s="98" t="str">
        <f ca="1">IF(J1043&gt;=4,(MID(I1044,1,1)&amp;MID(I1044,2,4)+1),CELL("address",AA1044))</f>
        <v>G1046</v>
      </c>
      <c r="K1044" s="98" t="str">
        <f ca="1">IF(J1043&gt;=5,(MID(J1044,1,1)&amp;MID(J1044,2,4)+1),CELL("address",AB1044))</f>
        <v>$AB$1044</v>
      </c>
      <c r="L1044" s="98" t="str">
        <f ca="1">IF(J1043&gt;=6,(MID(K1044,1,1)&amp;MID(K1044,2,4)+1),CELL("address",AC1044))</f>
        <v>$AC$1044</v>
      </c>
      <c r="M1044" s="98" t="str">
        <f ca="1">IF(J1043&gt;=7,(MID(L1044,1,1)&amp;MID(L1044,2,4)+1),CELL("address",AD1044))</f>
        <v>$AD$1044</v>
      </c>
      <c r="N1044" s="98" t="str">
        <f ca="1">IF(J1043&gt;=8,(MID(M1044,1,1)&amp;MID(M1044,2,4)+1),CELL("address",AE1044))</f>
        <v>$AE$1044</v>
      </c>
      <c r="O1044" s="98" t="str">
        <f ca="1">IF(J1043&gt;=9,(MID(N1044,1,1)&amp;MID(N1044,2,4)+1),CELL("address",AF1044))</f>
        <v>$AF$1044</v>
      </c>
      <c r="P1044" s="98" t="str">
        <f ca="1">IF(J1043&gt;=10,(MID(O1044,1,1)&amp;MID(O1044,2,4)+1),CELL("address",AG1044))</f>
        <v>$AG$1044</v>
      </c>
      <c r="Q1044" s="98" t="str">
        <f ca="1">IF(J1043&gt;=11,(MID(P1044,1,1)&amp;MID(P1044,2,4)+1),CELL("address",AH1044))</f>
        <v>$AH$1044</v>
      </c>
      <c r="R1044" s="98" t="str">
        <f ca="1">IF(J1043&gt;=12,(MID(Q1044,1,1)&amp;MID(Q1044,2,4)+1),CELL("address",AI1044))</f>
        <v>$AI$1044</v>
      </c>
    </row>
    <row r="1045" spans="1:8" ht="15" customHeight="1">
      <c r="A1045" s="267"/>
      <c r="B1045" s="267"/>
      <c r="C1045" s="268"/>
      <c r="D1045" s="45" t="s">
        <v>31</v>
      </c>
      <c r="E1045" s="64">
        <v>0.051</v>
      </c>
      <c r="G1045" s="102" t="str">
        <f>CONCATENATE(D1045," - ",E1045,", ")</f>
        <v>Misc. Alumn. Scrap - 0.051, </v>
      </c>
      <c r="H1045" s="1"/>
    </row>
    <row r="1046" spans="1:8" ht="15" customHeight="1">
      <c r="A1046" s="35"/>
      <c r="H1046" s="1"/>
    </row>
    <row r="1047" spans="1:15" ht="15" customHeight="1">
      <c r="A1047" s="271"/>
      <c r="B1047" s="272"/>
      <c r="C1047" s="66"/>
      <c r="D1047" s="66"/>
      <c r="E1047" s="67">
        <f>SUM(E1049:E1050)</f>
        <v>2.17</v>
      </c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</row>
    <row r="1048" spans="1:18" ht="15" customHeight="1">
      <c r="A1048" s="267" t="s">
        <v>5</v>
      </c>
      <c r="B1048" s="267"/>
      <c r="C1048" s="64" t="s">
        <v>17</v>
      </c>
      <c r="D1048" s="65" t="s">
        <v>18</v>
      </c>
      <c r="E1048" s="64" t="s">
        <v>7</v>
      </c>
      <c r="F1048" s="98"/>
      <c r="G1048" s="175" t="str">
        <f>CONCATENATE("Misc. Healthy parts/ Non Ferrous  Scrap, Lying at ",C1049,". Quantity in MT - ")</f>
        <v>Misc. Healthy parts/ Non Ferrous  Scrap, Lying at TRY Ropar. Quantity in MT - </v>
      </c>
      <c r="H1048" s="285" t="str">
        <f ca="1">CONCATENATE(G1048,G1049,(INDIRECT(I1049)),(INDIRECT(J1049)),(INDIRECT(K1049)),(INDIRECT(L1049)),(INDIRECT(M1049)),(INDIRECT(N1049)),(INDIRECT(O1049)),(INDIRECT(P1049)),(INDIRECT(Q1049)),(INDIRECT(R1049)),".")</f>
        <v>Misc. Healthy parts/ Non Ferrous  Scrap, Lying at TRY Ropar. Quantity in MT - Brass scrap - 2.007, Misc. Alumn. Scrap - 0.163, .</v>
      </c>
      <c r="I1048" s="98" t="str">
        <f aca="true" ca="1" t="array" ref="I1048">CELL("address",INDEX(G1048:G1070,MATCH(TRUE,ISBLANK(G1048:G1070),0)))</f>
        <v>$G$1051</v>
      </c>
      <c r="J1048" s="98">
        <f aca="true" t="array" ref="J1048">MATCH(TRUE,ISBLANK(G1048:G1070),0)</f>
        <v>4</v>
      </c>
      <c r="K1048" s="98">
        <f>J1048-3</f>
        <v>1</v>
      </c>
      <c r="L1048" s="98"/>
      <c r="M1048" s="98"/>
      <c r="N1048" s="98"/>
      <c r="O1048" s="98"/>
      <c r="P1048" s="98"/>
      <c r="Q1048" s="98"/>
      <c r="R1048" s="98"/>
    </row>
    <row r="1049" spans="1:18" ht="15" customHeight="1">
      <c r="A1049" s="267" t="s">
        <v>118</v>
      </c>
      <c r="B1049" s="267"/>
      <c r="C1049" s="268" t="s">
        <v>143</v>
      </c>
      <c r="D1049" s="45" t="s">
        <v>23</v>
      </c>
      <c r="E1049" s="45">
        <v>2.007</v>
      </c>
      <c r="G1049" s="102" t="str">
        <f>CONCATENATE(D1049," - ",E1049,", ")</f>
        <v>Brass scrap - 2.007, </v>
      </c>
      <c r="H1049" s="285"/>
      <c r="I1049" s="98" t="str">
        <f ca="1">IF(J1048&gt;=3,(MID(I1048,2,1)&amp;MID(I1048,4,4)-K1048),CELL("address",Z1049))</f>
        <v>G1050</v>
      </c>
      <c r="J1049" s="98" t="str">
        <f ca="1">IF(J1048&gt;=4,(MID(I1049,1,1)&amp;MID(I1049,2,4)+1),CELL("address",AA1049))</f>
        <v>G1051</v>
      </c>
      <c r="K1049" s="98" t="str">
        <f ca="1">IF(J1048&gt;=5,(MID(J1049,1,1)&amp;MID(J1049,2,4)+1),CELL("address",AB1049))</f>
        <v>$AB$1049</v>
      </c>
      <c r="L1049" s="98" t="str">
        <f ca="1">IF(J1048&gt;=6,(MID(K1049,1,1)&amp;MID(K1049,2,4)+1),CELL("address",AC1049))</f>
        <v>$AC$1049</v>
      </c>
      <c r="M1049" s="98" t="str">
        <f ca="1">IF(J1048&gt;=7,(MID(L1049,1,1)&amp;MID(L1049,2,4)+1),CELL("address",AD1049))</f>
        <v>$AD$1049</v>
      </c>
      <c r="N1049" s="98" t="str">
        <f ca="1">IF(J1048&gt;=8,(MID(M1049,1,1)&amp;MID(M1049,2,4)+1),CELL("address",AE1049))</f>
        <v>$AE$1049</v>
      </c>
      <c r="O1049" s="98" t="str">
        <f ca="1">IF(J1048&gt;=9,(MID(N1049,1,1)&amp;MID(N1049,2,4)+1),CELL("address",AF1049))</f>
        <v>$AF$1049</v>
      </c>
      <c r="P1049" s="98" t="str">
        <f ca="1">IF(J1048&gt;=10,(MID(O1049,1,1)&amp;MID(O1049,2,4)+1),CELL("address",AG1049))</f>
        <v>$AG$1049</v>
      </c>
      <c r="Q1049" s="98" t="str">
        <f ca="1">IF(J1048&gt;=11,(MID(P1049,1,1)&amp;MID(P1049,2,4)+1),CELL("address",AH1049))</f>
        <v>$AH$1049</v>
      </c>
      <c r="R1049" s="98" t="str">
        <f ca="1">IF(J1048&gt;=12,(MID(Q1049,1,1)&amp;MID(Q1049,2,4)+1),CELL("address",AI1049))</f>
        <v>$AI$1049</v>
      </c>
    </row>
    <row r="1050" spans="1:8" ht="15" customHeight="1">
      <c r="A1050" s="267"/>
      <c r="B1050" s="267"/>
      <c r="C1050" s="268"/>
      <c r="D1050" s="45" t="s">
        <v>31</v>
      </c>
      <c r="E1050" s="64">
        <v>0.163</v>
      </c>
      <c r="G1050" s="102" t="str">
        <f>CONCATENATE(D1050," - ",E1050,", ")</f>
        <v>Misc. Alumn. Scrap - 0.163, </v>
      </c>
      <c r="H1050" s="1"/>
    </row>
    <row r="1051" spans="1:8" ht="15" customHeight="1">
      <c r="A1051" s="51"/>
      <c r="B1051" s="54"/>
      <c r="C1051" s="19"/>
      <c r="D1051" s="83"/>
      <c r="E1051" s="82"/>
      <c r="H1051" s="1"/>
    </row>
    <row r="1052" spans="1:8" ht="15" customHeight="1">
      <c r="A1052" s="271"/>
      <c r="B1052" s="272"/>
      <c r="C1052" s="66"/>
      <c r="D1052" s="66"/>
      <c r="E1052" s="67">
        <f>SUM(E1054:E1059)</f>
        <v>1.9550000000000003</v>
      </c>
      <c r="H1052" s="1"/>
    </row>
    <row r="1053" spans="1:18" ht="15" customHeight="1">
      <c r="A1053" s="267" t="s">
        <v>5</v>
      </c>
      <c r="B1053" s="267"/>
      <c r="C1053" s="64" t="s">
        <v>17</v>
      </c>
      <c r="D1053" s="65" t="s">
        <v>18</v>
      </c>
      <c r="E1053" s="64" t="s">
        <v>7</v>
      </c>
      <c r="G1053" s="175" t="str">
        <f>CONCATENATE("Misc. Healthy parts/ Non Ferrous  Scrap, Lying at ",C1054,". Quantity in MT - ")</f>
        <v>Misc. Healthy parts/ Non Ferrous  Scrap, Lying at TRY Patiala. Quantity in MT - </v>
      </c>
      <c r="H1053" s="285" t="str">
        <f ca="1">CONCATENATE(G1053,G1054,(INDIRECT(I1054)),(INDIRECT(J1054)),(INDIRECT(K1054)),(INDIRECT(L1054)),(INDIRECT(M1054)),(INDIRECT(N1054)),(INDIRECT(O1054)),(INDIRECT(P1054)),(INDIRECT(Q1054)),(INDIRECT(R1054)),".")</f>
        <v>Misc. Healthy parts/ Non Ferrous  Scrap, Lying at TRY Patiala. Quantity in MT - Brass scrap - 0.767, Misc. Alumn. Scrap - 0.069, Burnt Cu scrap - 0.055, Nuts &amp; Bolts scrap - 0.87, Teen Patra scrap - 0.136, M.S Iron scrap - 0.058, .</v>
      </c>
      <c r="I1053" s="98" t="str">
        <f aca="true" ca="1" t="array" ref="I1053">CELL("address",INDEX(G1053:G1075,MATCH(TRUE,ISBLANK(G1053:G1075),0)))</f>
        <v>$G$1060</v>
      </c>
      <c r="J1053" s="98">
        <f aca="true" t="array" ref="J1053">MATCH(TRUE,ISBLANK(G1053:G1075),0)</f>
        <v>8</v>
      </c>
      <c r="K1053" s="98">
        <f>J1053-3</f>
        <v>5</v>
      </c>
      <c r="L1053" s="98"/>
      <c r="M1053" s="98"/>
      <c r="N1053" s="98"/>
      <c r="O1053" s="98"/>
      <c r="P1053" s="98"/>
      <c r="Q1053" s="98"/>
      <c r="R1053" s="98"/>
    </row>
    <row r="1054" spans="1:18" ht="15" customHeight="1">
      <c r="A1054" s="267" t="s">
        <v>125</v>
      </c>
      <c r="B1054" s="267"/>
      <c r="C1054" s="268" t="s">
        <v>120</v>
      </c>
      <c r="D1054" s="45" t="s">
        <v>23</v>
      </c>
      <c r="E1054" s="47">
        <v>0.767</v>
      </c>
      <c r="G1054" s="102" t="str">
        <f aca="true" t="shared" si="8" ref="G1054:G1059">CONCATENATE(D1054," - ",E1054,", ")</f>
        <v>Brass scrap - 0.767, </v>
      </c>
      <c r="H1054" s="285"/>
      <c r="I1054" s="98" t="str">
        <f ca="1">IF(J1053&gt;=3,(MID(I1053,2,1)&amp;MID(I1053,4,4)-K1053),CELL("address",Z1054))</f>
        <v>G1055</v>
      </c>
      <c r="J1054" s="98" t="str">
        <f ca="1">IF(J1053&gt;=4,(MID(I1054,1,1)&amp;MID(I1054,2,4)+1),CELL("address",AA1054))</f>
        <v>G1056</v>
      </c>
      <c r="K1054" s="98" t="str">
        <f ca="1">IF(J1053&gt;=5,(MID(J1054,1,1)&amp;MID(J1054,2,4)+1),CELL("address",AB1054))</f>
        <v>G1057</v>
      </c>
      <c r="L1054" s="98" t="str">
        <f ca="1">IF(J1053&gt;=6,(MID(K1054,1,1)&amp;MID(K1054,2,4)+1),CELL("address",AC1054))</f>
        <v>G1058</v>
      </c>
      <c r="M1054" s="98" t="str">
        <f ca="1">IF(J1053&gt;=7,(MID(L1054,1,1)&amp;MID(L1054,2,4)+1),CELL("address",AD1054))</f>
        <v>G1059</v>
      </c>
      <c r="N1054" s="98" t="str">
        <f ca="1">IF(J1053&gt;=8,(MID(M1054,1,1)&amp;MID(M1054,2,4)+1),CELL("address",AE1054))</f>
        <v>G1060</v>
      </c>
      <c r="O1054" s="98" t="str">
        <f ca="1">IF(J1053&gt;=9,(MID(N1054,1,1)&amp;MID(N1054,2,4)+1),CELL("address",AF1054))</f>
        <v>$AF$1054</v>
      </c>
      <c r="P1054" s="98" t="str">
        <f ca="1">IF(J1053&gt;=10,(MID(O1054,1,1)&amp;MID(O1054,2,4)+1),CELL("address",AG1054))</f>
        <v>$AG$1054</v>
      </c>
      <c r="Q1054" s="98" t="str">
        <f ca="1">IF(J1053&gt;=11,(MID(P1054,1,1)&amp;MID(P1054,2,4)+1),CELL("address",AH1054))</f>
        <v>$AH$1054</v>
      </c>
      <c r="R1054" s="98" t="str">
        <f ca="1">IF(J1053&gt;=12,(MID(Q1054,1,1)&amp;MID(Q1054,2,4)+1),CELL("address",AI1054))</f>
        <v>$AI$1054</v>
      </c>
    </row>
    <row r="1055" spans="1:8" ht="15" customHeight="1">
      <c r="A1055" s="267"/>
      <c r="B1055" s="267"/>
      <c r="C1055" s="268"/>
      <c r="D1055" s="45" t="s">
        <v>31</v>
      </c>
      <c r="E1055" s="73">
        <v>0.069</v>
      </c>
      <c r="G1055" s="102" t="str">
        <f t="shared" si="8"/>
        <v>Misc. Alumn. Scrap - 0.069, </v>
      </c>
      <c r="H1055" s="1"/>
    </row>
    <row r="1056" spans="1:15" ht="15" customHeight="1">
      <c r="A1056" s="267"/>
      <c r="B1056" s="267"/>
      <c r="C1056" s="268"/>
      <c r="D1056" s="40" t="s">
        <v>37</v>
      </c>
      <c r="E1056" s="199">
        <v>0.055</v>
      </c>
      <c r="F1056" s="98"/>
      <c r="G1056" s="102" t="str">
        <f t="shared" si="8"/>
        <v>Burnt Cu scrap - 0.055, </v>
      </c>
      <c r="H1056" s="98"/>
      <c r="I1056" s="98"/>
      <c r="J1056" s="98"/>
      <c r="K1056" s="98"/>
      <c r="L1056" s="98"/>
      <c r="M1056" s="98"/>
      <c r="N1056" s="98"/>
      <c r="O1056" s="98"/>
    </row>
    <row r="1057" spans="1:15" ht="15" customHeight="1">
      <c r="A1057" s="267"/>
      <c r="B1057" s="267"/>
      <c r="C1057" s="268"/>
      <c r="D1057" s="40" t="s">
        <v>58</v>
      </c>
      <c r="E1057" s="199">
        <v>0.87</v>
      </c>
      <c r="F1057" s="98"/>
      <c r="G1057" s="102" t="str">
        <f t="shared" si="8"/>
        <v>Nuts &amp; Bolts scrap - 0.87, </v>
      </c>
      <c r="H1057" s="98"/>
      <c r="I1057" s="98" t="e">
        <f ca="1">IF(G1056&gt;=6,(MID(H1057,1,1)&amp;MID(H1057,2,4)+1),CELL("address",Z1057))</f>
        <v>#VALUE!</v>
      </c>
      <c r="J1057" s="98" t="e">
        <f ca="1">IF(G1056&gt;=7,(MID(I1057,1,1)&amp;MID(I1057,2,4)+1),CELL("address",AA1057))</f>
        <v>#VALUE!</v>
      </c>
      <c r="K1057" s="98" t="e">
        <f ca="1">IF(G1056&gt;=8,(MID(J1057,1,1)&amp;MID(J1057,2,4)+1),CELL("address",AB1057))</f>
        <v>#VALUE!</v>
      </c>
      <c r="L1057" s="98" t="e">
        <f ca="1">IF(G1056&gt;=9,(MID(K1057,1,1)&amp;MID(K1057,2,4)+1),CELL("address",AC1057))</f>
        <v>#VALUE!</v>
      </c>
      <c r="M1057" s="98" t="e">
        <f ca="1">IF(G1056&gt;=10,(MID(L1057,1,1)&amp;MID(L1057,2,4)+1),CELL("address",AD1057))</f>
        <v>#VALUE!</v>
      </c>
      <c r="N1057" s="98" t="e">
        <f ca="1">IF(G1056&gt;=11,(MID(M1057,1,1)&amp;MID(M1057,2,4)+1),CELL("address",AE1057))</f>
        <v>#VALUE!</v>
      </c>
      <c r="O1057" s="98" t="e">
        <f ca="1">IF(G1056&gt;=12,(MID(N1057,1,1)&amp;MID(N1057,2,4)+1),CELL("address",AF1057))</f>
        <v>#VALUE!</v>
      </c>
    </row>
    <row r="1058" spans="1:8" ht="15" customHeight="1">
      <c r="A1058" s="267"/>
      <c r="B1058" s="267"/>
      <c r="C1058" s="268"/>
      <c r="D1058" s="40" t="s">
        <v>64</v>
      </c>
      <c r="E1058" s="199">
        <v>0.136</v>
      </c>
      <c r="G1058" s="102" t="str">
        <f t="shared" si="8"/>
        <v>Teen Patra scrap - 0.136, </v>
      </c>
      <c r="H1058" s="1"/>
    </row>
    <row r="1059" spans="1:8" ht="15" customHeight="1">
      <c r="A1059" s="267"/>
      <c r="B1059" s="267"/>
      <c r="C1059" s="268"/>
      <c r="D1059" s="40" t="s">
        <v>536</v>
      </c>
      <c r="E1059" s="199">
        <v>0.058</v>
      </c>
      <c r="G1059" s="102" t="str">
        <f t="shared" si="8"/>
        <v>M.S Iron scrap - 0.058, </v>
      </c>
      <c r="H1059" s="1"/>
    </row>
    <row r="1060" spans="1:15" ht="15" customHeight="1">
      <c r="A1060" s="35"/>
      <c r="B1060" s="1"/>
      <c r="C1060" s="1"/>
      <c r="D1060" s="1"/>
      <c r="E1060" s="1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</row>
    <row r="1061" spans="1:15" ht="15" customHeight="1">
      <c r="A1061" s="271"/>
      <c r="B1061" s="272"/>
      <c r="C1061" s="66"/>
      <c r="D1061" s="66"/>
      <c r="E1061" s="67">
        <f>SUM(E1063:E1063)</f>
        <v>0.011</v>
      </c>
      <c r="F1061" s="98"/>
      <c r="G1061" s="98"/>
      <c r="H1061" s="98"/>
      <c r="I1061" s="98" t="str">
        <f ca="1">IF(G1060&gt;=6,(MID(H1061,1,1)&amp;MID(H1061,2,4)+1),CELL("address",Z1061))</f>
        <v>$Z$1061</v>
      </c>
      <c r="J1061" s="98" t="str">
        <f ca="1">IF(G1060&gt;=7,(MID(I1061,1,1)&amp;MID(I1061,2,4)+1),CELL("address",AA1061))</f>
        <v>$AA$1061</v>
      </c>
      <c r="K1061" s="98" t="str">
        <f ca="1">IF(G1060&gt;=8,(MID(J1061,1,1)&amp;MID(J1061,2,4)+1),CELL("address",AB1061))</f>
        <v>$AB$1061</v>
      </c>
      <c r="L1061" s="98" t="str">
        <f ca="1">IF(G1060&gt;=9,(MID(K1061,1,1)&amp;MID(K1061,2,4)+1),CELL("address",AC1061))</f>
        <v>$AC$1061</v>
      </c>
      <c r="M1061" s="98" t="str">
        <f ca="1">IF(G1060&gt;=10,(MID(L1061,1,1)&amp;MID(L1061,2,4)+1),CELL("address",AD1061))</f>
        <v>$AD$1061</v>
      </c>
      <c r="N1061" s="98" t="str">
        <f ca="1">IF(G1060&gt;=11,(MID(M1061,1,1)&amp;MID(M1061,2,4)+1),CELL("address",AE1061))</f>
        <v>$AE$1061</v>
      </c>
      <c r="O1061" s="98" t="str">
        <f ca="1">IF(G1060&gt;=12,(MID(N1061,1,1)&amp;MID(N1061,2,4)+1),CELL("address",AF1061))</f>
        <v>$AF$1061</v>
      </c>
    </row>
    <row r="1062" spans="1:18" ht="15" customHeight="1">
      <c r="A1062" s="267" t="s">
        <v>5</v>
      </c>
      <c r="B1062" s="267"/>
      <c r="C1062" s="64" t="s">
        <v>17</v>
      </c>
      <c r="D1062" s="65" t="s">
        <v>18</v>
      </c>
      <c r="E1062" s="64" t="s">
        <v>7</v>
      </c>
      <c r="G1062" s="175" t="str">
        <f>CONCATENATE("Misc. Healthy parts/ Non Ferrous  Scrap, Lying at ",C1063,". Quantity in MT - ")</f>
        <v>Misc. Healthy parts/ Non Ferrous  Scrap, Lying at CS Malout. Quantity in MT - </v>
      </c>
      <c r="H1062" s="285" t="str">
        <f ca="1">CONCATENATE(G1062,G1063,(INDIRECT(I1063)),(INDIRECT(J1063)),(INDIRECT(K1063)),(INDIRECT(L1063)),(INDIRECT(M1063)),(INDIRECT(N1063)),(INDIRECT(O1063)),(INDIRECT(P1063)),(INDIRECT(Q1063)),(INDIRECT(R1063)),".")</f>
        <v>Misc. Healthy parts/ Non Ferrous  Scrap, Lying at CS Malout. Quantity in MT - Brass scrap - 0.011, .</v>
      </c>
      <c r="I1062" s="98" t="str">
        <f aca="true" ca="1" t="array" ref="I1062">CELL("address",INDEX(G1062:G1084,MATCH(TRUE,ISBLANK(G1062:G1084),0)))</f>
        <v>$G$1064</v>
      </c>
      <c r="J1062" s="98">
        <f aca="true" t="array" ref="J1062">MATCH(TRUE,ISBLANK(G1062:G1084),0)</f>
        <v>3</v>
      </c>
      <c r="K1062" s="98">
        <f>J1062-3</f>
        <v>0</v>
      </c>
      <c r="L1062" s="98"/>
      <c r="M1062" s="98"/>
      <c r="N1062" s="98"/>
      <c r="O1062" s="98"/>
      <c r="P1062" s="98"/>
      <c r="Q1062" s="98"/>
      <c r="R1062" s="98"/>
    </row>
    <row r="1063" spans="1:18" ht="15" customHeight="1">
      <c r="A1063" s="267" t="s">
        <v>133</v>
      </c>
      <c r="B1063" s="267"/>
      <c r="C1063" s="222" t="s">
        <v>95</v>
      </c>
      <c r="D1063" s="45" t="s">
        <v>23</v>
      </c>
      <c r="E1063" s="47">
        <v>0.011</v>
      </c>
      <c r="G1063" s="102" t="str">
        <f>CONCATENATE(D1063," - ",E1063,", ")</f>
        <v>Brass scrap - 0.011, </v>
      </c>
      <c r="H1063" s="285"/>
      <c r="I1063" s="98" t="str">
        <f ca="1">IF(J1062&gt;=3,(MID(I1062,2,1)&amp;MID(I1062,4,4)-K1062),CELL("address",Z1063))</f>
        <v>G1064</v>
      </c>
      <c r="J1063" s="98" t="str">
        <f ca="1">IF(J1062&gt;=4,(MID(I1063,1,1)&amp;MID(I1063,2,4)+1),CELL("address",AA1063))</f>
        <v>$AA$1063</v>
      </c>
      <c r="K1063" s="98" t="str">
        <f ca="1">IF(J1062&gt;=5,(MID(J1063,1,1)&amp;MID(J1063,2,4)+1),CELL("address",AB1063))</f>
        <v>$AB$1063</v>
      </c>
      <c r="L1063" s="98" t="str">
        <f ca="1">IF(J1062&gt;=6,(MID(K1063,1,1)&amp;MID(K1063,2,4)+1),CELL("address",AC1063))</f>
        <v>$AC$1063</v>
      </c>
      <c r="M1063" s="98" t="str">
        <f ca="1">IF(J1062&gt;=7,(MID(L1063,1,1)&amp;MID(L1063,2,4)+1),CELL("address",AD1063))</f>
        <v>$AD$1063</v>
      </c>
      <c r="N1063" s="98" t="str">
        <f ca="1">IF(J1062&gt;=8,(MID(M1063,1,1)&amp;MID(M1063,2,4)+1),CELL("address",AE1063))</f>
        <v>$AE$1063</v>
      </c>
      <c r="O1063" s="98" t="str">
        <f ca="1">IF(J1062&gt;=9,(MID(N1063,1,1)&amp;MID(N1063,2,4)+1),CELL("address",AF1063))</f>
        <v>$AF$1063</v>
      </c>
      <c r="P1063" s="98" t="str">
        <f ca="1">IF(J1062&gt;=10,(MID(O1063,1,1)&amp;MID(O1063,2,4)+1),CELL("address",AG1063))</f>
        <v>$AG$1063</v>
      </c>
      <c r="Q1063" s="98" t="str">
        <f ca="1">IF(J1062&gt;=11,(MID(P1063,1,1)&amp;MID(P1063,2,4)+1),CELL("address",AH1063))</f>
        <v>$AH$1063</v>
      </c>
      <c r="R1063" s="98" t="str">
        <f ca="1">IF(J1062&gt;=12,(MID(Q1063,1,1)&amp;MID(Q1063,2,4)+1),CELL("address",AI1063))</f>
        <v>$AI$1063</v>
      </c>
    </row>
    <row r="1064" spans="1:15" ht="15" customHeight="1">
      <c r="A1064" s="348"/>
      <c r="B1064" s="349"/>
      <c r="C1064" s="92"/>
      <c r="D1064" s="92"/>
      <c r="E1064" s="92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</row>
    <row r="1065" spans="1:15" ht="15" customHeight="1">
      <c r="A1065" s="271"/>
      <c r="B1065" s="272"/>
      <c r="C1065" s="66"/>
      <c r="D1065" s="66"/>
      <c r="E1065" s="67">
        <f>SUM(E1067:E1067)</f>
        <v>1</v>
      </c>
      <c r="F1065" s="98"/>
      <c r="G1065" s="98"/>
      <c r="H1065" s="98"/>
      <c r="I1065" s="98" t="str">
        <f ca="1">IF(G1064&gt;=6,(MID(H1065,1,1)&amp;MID(H1065,2,4)+1),CELL("address",Z1065))</f>
        <v>$Z$1065</v>
      </c>
      <c r="J1065" s="98" t="str">
        <f ca="1">IF(G1064&gt;=7,(MID(I1065,1,1)&amp;MID(I1065,2,4)+1),CELL("address",AA1065))</f>
        <v>$AA$1065</v>
      </c>
      <c r="K1065" s="98" t="str">
        <f ca="1">IF(G1064&gt;=8,(MID(J1065,1,1)&amp;MID(J1065,2,4)+1),CELL("address",AB1065))</f>
        <v>$AB$1065</v>
      </c>
      <c r="L1065" s="98" t="str">
        <f ca="1">IF(G1064&gt;=9,(MID(K1065,1,1)&amp;MID(K1065,2,4)+1),CELL("address",AC1065))</f>
        <v>$AC$1065</v>
      </c>
      <c r="M1065" s="98" t="str">
        <f ca="1">IF(G1064&gt;=10,(MID(L1065,1,1)&amp;MID(L1065,2,4)+1),CELL("address",AD1065))</f>
        <v>$AD$1065</v>
      </c>
      <c r="N1065" s="98" t="str">
        <f ca="1">IF(G1064&gt;=11,(MID(M1065,1,1)&amp;MID(M1065,2,4)+1),CELL("address",AE1065))</f>
        <v>$AE$1065</v>
      </c>
      <c r="O1065" s="98" t="str">
        <f ca="1">IF(G1064&gt;=12,(MID(N1065,1,1)&amp;MID(N1065,2,4)+1),CELL("address",AF1065))</f>
        <v>$AF$1065</v>
      </c>
    </row>
    <row r="1066" spans="1:18" ht="15" customHeight="1">
      <c r="A1066" s="267" t="s">
        <v>5</v>
      </c>
      <c r="B1066" s="267"/>
      <c r="C1066" s="64" t="s">
        <v>17</v>
      </c>
      <c r="D1066" s="65" t="s">
        <v>18</v>
      </c>
      <c r="E1066" s="64" t="s">
        <v>7</v>
      </c>
      <c r="G1066" s="175" t="str">
        <f>CONCATENATE("Misc. Healthy parts/ Non Ferrous  Scrap, Lying at ",C1067,". Quantity in MT - ")</f>
        <v>Misc. Healthy parts/ Non Ferrous  Scrap, Lying at TRY Bathinda. Quantity in MT - </v>
      </c>
      <c r="H1066" s="285" t="str">
        <f ca="1">CONCATENATE(G1066,G1067,(INDIRECT(I1067)),(INDIRECT(J1067)),(INDIRECT(K1067)),(INDIRECT(L1067)),(INDIRECT(M1067)),(INDIRECT(N1067)),(INDIRECT(O1067)),(INDIRECT(P1067)),(INDIRECT(Q1067)),(INDIRECT(R1067)),".")</f>
        <v>Misc. Healthy parts/ Non Ferrous  Scrap, Lying at TRY Bathinda. Quantity in MT - Brass scrap - 1, .</v>
      </c>
      <c r="I1066" s="98" t="str">
        <f aca="true" ca="1" t="array" ref="I1066">CELL("address",INDEX(G1066:G1090,MATCH(TRUE,ISBLANK(G1066:G1090),0)))</f>
        <v>$G$1068</v>
      </c>
      <c r="J1066" s="98">
        <f aca="true" t="array" ref="J1066">MATCH(TRUE,ISBLANK(G1066:G1090),0)</f>
        <v>3</v>
      </c>
      <c r="K1066" s="98">
        <f>J1066-3</f>
        <v>0</v>
      </c>
      <c r="L1066" s="98"/>
      <c r="M1066" s="98"/>
      <c r="N1066" s="98"/>
      <c r="O1066" s="98"/>
      <c r="P1066" s="98"/>
      <c r="Q1066" s="98"/>
      <c r="R1066" s="98"/>
    </row>
    <row r="1067" spans="1:18" ht="15" customHeight="1">
      <c r="A1067" s="267" t="s">
        <v>134</v>
      </c>
      <c r="B1067" s="267"/>
      <c r="C1067" s="222" t="s">
        <v>36</v>
      </c>
      <c r="D1067" s="40" t="s">
        <v>23</v>
      </c>
      <c r="E1067" s="46">
        <v>1</v>
      </c>
      <c r="G1067" s="102" t="str">
        <f>CONCATENATE(D1067," - ",E1067,", ")</f>
        <v>Brass scrap - 1, </v>
      </c>
      <c r="H1067" s="285"/>
      <c r="I1067" s="98" t="str">
        <f ca="1">IF(J1066&gt;=3,(MID(I1066,2,1)&amp;MID(I1066,4,4)-K1066),CELL("address",Z1067))</f>
        <v>G1068</v>
      </c>
      <c r="J1067" s="98" t="str">
        <f ca="1">IF(J1066&gt;=4,(MID(I1067,1,1)&amp;MID(I1067,2,4)+1),CELL("address",AA1067))</f>
        <v>$AA$1067</v>
      </c>
      <c r="K1067" s="98" t="str">
        <f ca="1">IF(J1066&gt;=5,(MID(J1067,1,1)&amp;MID(J1067,2,4)+1),CELL("address",AB1067))</f>
        <v>$AB$1067</v>
      </c>
      <c r="L1067" s="98" t="str">
        <f ca="1">IF(J1066&gt;=6,(MID(K1067,1,1)&amp;MID(K1067,2,4)+1),CELL("address",AC1067))</f>
        <v>$AC$1067</v>
      </c>
      <c r="M1067" s="98" t="str">
        <f ca="1">IF(J1066&gt;=7,(MID(L1067,1,1)&amp;MID(L1067,2,4)+1),CELL("address",AD1067))</f>
        <v>$AD$1067</v>
      </c>
      <c r="N1067" s="98" t="str">
        <f ca="1">IF(J1066&gt;=8,(MID(M1067,1,1)&amp;MID(M1067,2,4)+1),CELL("address",AE1067))</f>
        <v>$AE$1067</v>
      </c>
      <c r="O1067" s="98" t="str">
        <f ca="1">IF(J1066&gt;=9,(MID(N1067,1,1)&amp;MID(N1067,2,4)+1),CELL("address",AF1067))</f>
        <v>$AF$1067</v>
      </c>
      <c r="P1067" s="98" t="str">
        <f ca="1">IF(J1066&gt;=10,(MID(O1067,1,1)&amp;MID(O1067,2,4)+1),CELL("address",AG1067))</f>
        <v>$AG$1067</v>
      </c>
      <c r="Q1067" s="98" t="str">
        <f ca="1">IF(J1066&gt;=11,(MID(P1067,1,1)&amp;MID(P1067,2,4)+1),CELL("address",AH1067))</f>
        <v>$AH$1067</v>
      </c>
      <c r="R1067" s="98" t="str">
        <f ca="1">IF(J1066&gt;=12,(MID(Q1067,1,1)&amp;MID(Q1067,2,4)+1),CELL("address",AI1067))</f>
        <v>$AI$1067</v>
      </c>
    </row>
    <row r="1068" spans="1:15" ht="15" customHeight="1">
      <c r="A1068" s="348"/>
      <c r="B1068" s="349"/>
      <c r="C1068" s="92"/>
      <c r="D1068" s="92"/>
      <c r="E1068" s="92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</row>
    <row r="1069" spans="1:15" ht="15" customHeight="1">
      <c r="A1069" s="271"/>
      <c r="B1069" s="272"/>
      <c r="C1069" s="66"/>
      <c r="D1069" s="66"/>
      <c r="E1069" s="67">
        <f>SUM(E1071:E1071)</f>
        <v>1</v>
      </c>
      <c r="F1069" s="98"/>
      <c r="G1069" s="98"/>
      <c r="H1069" s="98"/>
      <c r="I1069" s="98" t="str">
        <f ca="1">IF(G1068&gt;=6,(MID(H1069,1,1)&amp;MID(H1069,2,4)+1),CELL("address",Z1069))</f>
        <v>$Z$1069</v>
      </c>
      <c r="J1069" s="98" t="str">
        <f ca="1">IF(G1068&gt;=7,(MID(I1069,1,1)&amp;MID(I1069,2,4)+1),CELL("address",AA1069))</f>
        <v>$AA$1069</v>
      </c>
      <c r="K1069" s="98" t="str">
        <f ca="1">IF(G1068&gt;=8,(MID(J1069,1,1)&amp;MID(J1069,2,4)+1),CELL("address",AB1069))</f>
        <v>$AB$1069</v>
      </c>
      <c r="L1069" s="98" t="str">
        <f ca="1">IF(G1068&gt;=9,(MID(K1069,1,1)&amp;MID(K1069,2,4)+1),CELL("address",AC1069))</f>
        <v>$AC$1069</v>
      </c>
      <c r="M1069" s="98" t="str">
        <f ca="1">IF(G1068&gt;=10,(MID(L1069,1,1)&amp;MID(L1069,2,4)+1),CELL("address",AD1069))</f>
        <v>$AD$1069</v>
      </c>
      <c r="N1069" s="98" t="str">
        <f ca="1">IF(G1068&gt;=11,(MID(M1069,1,1)&amp;MID(M1069,2,4)+1),CELL("address",AE1069))</f>
        <v>$AE$1069</v>
      </c>
      <c r="O1069" s="98" t="str">
        <f ca="1">IF(G1068&gt;=12,(MID(N1069,1,1)&amp;MID(N1069,2,4)+1),CELL("address",AF1069))</f>
        <v>$AF$1069</v>
      </c>
    </row>
    <row r="1070" spans="1:18" ht="15" customHeight="1">
      <c r="A1070" s="267" t="s">
        <v>5</v>
      </c>
      <c r="B1070" s="267"/>
      <c r="C1070" s="64" t="s">
        <v>17</v>
      </c>
      <c r="D1070" s="65" t="s">
        <v>18</v>
      </c>
      <c r="E1070" s="64" t="s">
        <v>7</v>
      </c>
      <c r="G1070" s="175" t="str">
        <f>CONCATENATE("Misc. Healthy parts/ Non Ferrous  Scrap, Lying at ",C1071,". Quantity in MT - ")</f>
        <v>Misc. Healthy parts/ Non Ferrous  Scrap, Lying at TRY Bathinda. Quantity in MT - </v>
      </c>
      <c r="H1070" s="285" t="str">
        <f ca="1">CONCATENATE(G1070,G1071,(INDIRECT(I1071)),(INDIRECT(J1071)),(INDIRECT(K1071)),(INDIRECT(L1071)),(INDIRECT(M1071)),(INDIRECT(N1071)),(INDIRECT(O1071)),(INDIRECT(P1071)),(INDIRECT(Q1071)),(INDIRECT(R1071)),".")</f>
        <v>Misc. Healthy parts/ Non Ferrous  Scrap, Lying at TRY Bathinda. Quantity in MT - Brass scrap - 1, .</v>
      </c>
      <c r="I1070" s="98" t="str">
        <f aca="true" ca="1" t="array" ref="I1070">CELL("address",INDEX(G1070:G1094,MATCH(TRUE,ISBLANK(G1070:G1094),0)))</f>
        <v>$G$1072</v>
      </c>
      <c r="J1070" s="98">
        <f aca="true" t="array" ref="J1070">MATCH(TRUE,ISBLANK(G1070:G1094),0)</f>
        <v>3</v>
      </c>
      <c r="K1070" s="98">
        <f>J1070-3</f>
        <v>0</v>
      </c>
      <c r="L1070" s="98"/>
      <c r="M1070" s="98"/>
      <c r="N1070" s="98"/>
      <c r="O1070" s="98"/>
      <c r="P1070" s="98"/>
      <c r="Q1070" s="98"/>
      <c r="R1070" s="98"/>
    </row>
    <row r="1071" spans="1:18" ht="15" customHeight="1">
      <c r="A1071" s="267" t="s">
        <v>141</v>
      </c>
      <c r="B1071" s="267"/>
      <c r="C1071" s="222" t="s">
        <v>36</v>
      </c>
      <c r="D1071" s="40" t="s">
        <v>23</v>
      </c>
      <c r="E1071" s="46">
        <v>1</v>
      </c>
      <c r="G1071" s="102" t="str">
        <f>CONCATENATE(D1071," - ",E1071,", ")</f>
        <v>Brass scrap - 1, </v>
      </c>
      <c r="H1071" s="285"/>
      <c r="I1071" s="98" t="str">
        <f ca="1">IF(J1070&gt;=3,(MID(I1070,2,1)&amp;MID(I1070,4,4)-K1070),CELL("address",Z1071))</f>
        <v>G1072</v>
      </c>
      <c r="J1071" s="98" t="str">
        <f ca="1">IF(J1070&gt;=4,(MID(I1071,1,1)&amp;MID(I1071,2,4)+1),CELL("address",AA1071))</f>
        <v>$AA$1071</v>
      </c>
      <c r="K1071" s="98" t="str">
        <f ca="1">IF(J1070&gt;=5,(MID(J1071,1,1)&amp;MID(J1071,2,4)+1),CELL("address",AB1071))</f>
        <v>$AB$1071</v>
      </c>
      <c r="L1071" s="98" t="str">
        <f ca="1">IF(J1070&gt;=6,(MID(K1071,1,1)&amp;MID(K1071,2,4)+1),CELL("address",AC1071))</f>
        <v>$AC$1071</v>
      </c>
      <c r="M1071" s="98" t="str">
        <f ca="1">IF(J1070&gt;=7,(MID(L1071,1,1)&amp;MID(L1071,2,4)+1),CELL("address",AD1071))</f>
        <v>$AD$1071</v>
      </c>
      <c r="N1071" s="98" t="str">
        <f ca="1">IF(J1070&gt;=8,(MID(M1071,1,1)&amp;MID(M1071,2,4)+1),CELL("address",AE1071))</f>
        <v>$AE$1071</v>
      </c>
      <c r="O1071" s="98" t="str">
        <f ca="1">IF(J1070&gt;=9,(MID(N1071,1,1)&amp;MID(N1071,2,4)+1),CELL("address",AF1071))</f>
        <v>$AF$1071</v>
      </c>
      <c r="P1071" s="98" t="str">
        <f ca="1">IF(J1070&gt;=10,(MID(O1071,1,1)&amp;MID(O1071,2,4)+1),CELL("address",AG1071))</f>
        <v>$AG$1071</v>
      </c>
      <c r="Q1071" s="98" t="str">
        <f ca="1">IF(J1070&gt;=11,(MID(P1071,1,1)&amp;MID(P1071,2,4)+1),CELL("address",AH1071))</f>
        <v>$AH$1071</v>
      </c>
      <c r="R1071" s="98" t="str">
        <f ca="1">IF(J1070&gt;=12,(MID(Q1071,1,1)&amp;MID(Q1071,2,4)+1),CELL("address",AI1071))</f>
        <v>$AI$1071</v>
      </c>
    </row>
    <row r="1072" spans="1:15" ht="15" customHeight="1">
      <c r="A1072" s="348"/>
      <c r="B1072" s="349"/>
      <c r="C1072" s="92"/>
      <c r="D1072" s="92"/>
      <c r="E1072" s="92"/>
      <c r="F1072" s="98"/>
      <c r="G1072" s="98"/>
      <c r="H1072" s="98"/>
      <c r="I1072" s="98"/>
      <c r="J1072" s="98"/>
      <c r="K1072" s="98"/>
      <c r="L1072" s="98"/>
      <c r="M1072" s="98"/>
      <c r="N1072" s="98"/>
      <c r="O1072" s="98"/>
    </row>
    <row r="1073" spans="1:15" ht="15" customHeight="1">
      <c r="A1073" s="271"/>
      <c r="B1073" s="272"/>
      <c r="C1073" s="66"/>
      <c r="D1073" s="66"/>
      <c r="E1073" s="67">
        <f>SUM(E1075:E1075)</f>
        <v>1</v>
      </c>
      <c r="F1073" s="98"/>
      <c r="G1073" s="98"/>
      <c r="H1073" s="98"/>
      <c r="I1073" s="98" t="str">
        <f ca="1">IF(G1072&gt;=6,(MID(H1073,1,1)&amp;MID(H1073,2,4)+1),CELL("address",Z1073))</f>
        <v>$Z$1073</v>
      </c>
      <c r="J1073" s="98" t="str">
        <f ca="1">IF(G1072&gt;=7,(MID(I1073,1,1)&amp;MID(I1073,2,4)+1),CELL("address",AA1073))</f>
        <v>$AA$1073</v>
      </c>
      <c r="K1073" s="98" t="str">
        <f ca="1">IF(G1072&gt;=8,(MID(J1073,1,1)&amp;MID(J1073,2,4)+1),CELL("address",AB1073))</f>
        <v>$AB$1073</v>
      </c>
      <c r="L1073" s="98" t="str">
        <f ca="1">IF(G1072&gt;=9,(MID(K1073,1,1)&amp;MID(K1073,2,4)+1),CELL("address",AC1073))</f>
        <v>$AC$1073</v>
      </c>
      <c r="M1073" s="98" t="str">
        <f ca="1">IF(G1072&gt;=10,(MID(L1073,1,1)&amp;MID(L1073,2,4)+1),CELL("address",AD1073))</f>
        <v>$AD$1073</v>
      </c>
      <c r="N1073" s="98" t="str">
        <f ca="1">IF(G1072&gt;=11,(MID(M1073,1,1)&amp;MID(M1073,2,4)+1),CELL("address",AE1073))</f>
        <v>$AE$1073</v>
      </c>
      <c r="O1073" s="98" t="str">
        <f ca="1">IF(G1072&gt;=12,(MID(N1073,1,1)&amp;MID(N1073,2,4)+1),CELL("address",AF1073))</f>
        <v>$AF$1073</v>
      </c>
    </row>
    <row r="1074" spans="1:18" ht="15" customHeight="1">
      <c r="A1074" s="267" t="s">
        <v>5</v>
      </c>
      <c r="B1074" s="267"/>
      <c r="C1074" s="64" t="s">
        <v>17</v>
      </c>
      <c r="D1074" s="65" t="s">
        <v>18</v>
      </c>
      <c r="E1074" s="64" t="s">
        <v>7</v>
      </c>
      <c r="G1074" s="175" t="str">
        <f>CONCATENATE("Misc. Healthy parts/ Non Ferrous  Scrap, Lying at ",C1075,". Quantity in MT - ")</f>
        <v>Misc. Healthy parts/ Non Ferrous  Scrap, Lying at TRY Bathinda. Quantity in MT - </v>
      </c>
      <c r="H1074" s="285" t="str">
        <f ca="1">CONCATENATE(G1074,G1075,(INDIRECT(I1075)),(INDIRECT(J1075)),(INDIRECT(K1075)),(INDIRECT(L1075)),(INDIRECT(M1075)),(INDIRECT(N1075)),(INDIRECT(O1075)),(INDIRECT(P1075)),(INDIRECT(Q1075)),(INDIRECT(R1075)),".")</f>
        <v>Misc. Healthy parts/ Non Ferrous  Scrap, Lying at TRY Bathinda. Quantity in MT - Brass scrap - 1, .</v>
      </c>
      <c r="I1074" s="98" t="str">
        <f aca="true" ca="1" t="array" ref="I1074">CELL("address",INDEX(G1074:G1098,MATCH(TRUE,ISBLANK(G1074:G1098),0)))</f>
        <v>$G$1076</v>
      </c>
      <c r="J1074" s="98">
        <f aca="true" t="array" ref="J1074">MATCH(TRUE,ISBLANK(G1074:G1098),0)</f>
        <v>3</v>
      </c>
      <c r="K1074" s="98">
        <f>J1074-3</f>
        <v>0</v>
      </c>
      <c r="L1074" s="98"/>
      <c r="M1074" s="98"/>
      <c r="N1074" s="98"/>
      <c r="O1074" s="98"/>
      <c r="P1074" s="98"/>
      <c r="Q1074" s="98"/>
      <c r="R1074" s="98"/>
    </row>
    <row r="1075" spans="1:18" ht="15" customHeight="1">
      <c r="A1075" s="267" t="s">
        <v>196</v>
      </c>
      <c r="B1075" s="267"/>
      <c r="C1075" s="222" t="s">
        <v>36</v>
      </c>
      <c r="D1075" s="40" t="s">
        <v>23</v>
      </c>
      <c r="E1075" s="46">
        <v>1</v>
      </c>
      <c r="G1075" s="102" t="str">
        <f>CONCATENATE(D1075," - ",E1075,", ")</f>
        <v>Brass scrap - 1, </v>
      </c>
      <c r="H1075" s="285"/>
      <c r="I1075" s="98" t="str">
        <f ca="1">IF(J1074&gt;=3,(MID(I1074,2,1)&amp;MID(I1074,4,4)-K1074),CELL("address",Z1075))</f>
        <v>G1076</v>
      </c>
      <c r="J1075" s="98" t="str">
        <f ca="1">IF(J1074&gt;=4,(MID(I1075,1,1)&amp;MID(I1075,2,4)+1),CELL("address",AA1075))</f>
        <v>$AA$1075</v>
      </c>
      <c r="K1075" s="98" t="str">
        <f ca="1">IF(J1074&gt;=5,(MID(J1075,1,1)&amp;MID(J1075,2,4)+1),CELL("address",AB1075))</f>
        <v>$AB$1075</v>
      </c>
      <c r="L1075" s="98" t="str">
        <f ca="1">IF(J1074&gt;=6,(MID(K1075,1,1)&amp;MID(K1075,2,4)+1),CELL("address",AC1075))</f>
        <v>$AC$1075</v>
      </c>
      <c r="M1075" s="98" t="str">
        <f ca="1">IF(J1074&gt;=7,(MID(L1075,1,1)&amp;MID(L1075,2,4)+1),CELL("address",AD1075))</f>
        <v>$AD$1075</v>
      </c>
      <c r="N1075" s="98" t="str">
        <f ca="1">IF(J1074&gt;=8,(MID(M1075,1,1)&amp;MID(M1075,2,4)+1),CELL("address",AE1075))</f>
        <v>$AE$1075</v>
      </c>
      <c r="O1075" s="98" t="str">
        <f ca="1">IF(J1074&gt;=9,(MID(N1075,1,1)&amp;MID(N1075,2,4)+1),CELL("address",AF1075))</f>
        <v>$AF$1075</v>
      </c>
      <c r="P1075" s="98" t="str">
        <f ca="1">IF(J1074&gt;=10,(MID(O1075,1,1)&amp;MID(O1075,2,4)+1),CELL("address",AG1075))</f>
        <v>$AG$1075</v>
      </c>
      <c r="Q1075" s="98" t="str">
        <f ca="1">IF(J1074&gt;=11,(MID(P1075,1,1)&amp;MID(P1075,2,4)+1),CELL("address",AH1075))</f>
        <v>$AH$1075</v>
      </c>
      <c r="R1075" s="98" t="str">
        <f ca="1">IF(J1074&gt;=12,(MID(Q1075,1,1)&amp;MID(Q1075,2,4)+1),CELL("address",AI1075))</f>
        <v>$AI$1075</v>
      </c>
    </row>
    <row r="1076" spans="1:15" ht="15" customHeight="1">
      <c r="A1076" s="348"/>
      <c r="B1076" s="349"/>
      <c r="C1076" s="92"/>
      <c r="D1076" s="92"/>
      <c r="E1076" s="92"/>
      <c r="F1076" s="98"/>
      <c r="G1076" s="98"/>
      <c r="H1076" s="98"/>
      <c r="I1076" s="98"/>
      <c r="J1076" s="98"/>
      <c r="K1076" s="98"/>
      <c r="L1076" s="98"/>
      <c r="M1076" s="98"/>
      <c r="N1076" s="98"/>
      <c r="O1076" s="98"/>
    </row>
    <row r="1077" spans="1:15" ht="15" customHeight="1">
      <c r="A1077" s="271"/>
      <c r="B1077" s="272"/>
      <c r="C1077" s="66"/>
      <c r="D1077" s="66"/>
      <c r="E1077" s="67">
        <f>SUM(E1079:E1079)</f>
        <v>1</v>
      </c>
      <c r="F1077" s="98"/>
      <c r="G1077" s="98"/>
      <c r="H1077" s="98"/>
      <c r="I1077" s="98" t="str">
        <f ca="1">IF(G1076&gt;=6,(MID(H1077,1,1)&amp;MID(H1077,2,4)+1),CELL("address",Z1077))</f>
        <v>$Z$1077</v>
      </c>
      <c r="J1077" s="98" t="str">
        <f ca="1">IF(G1076&gt;=7,(MID(I1077,1,1)&amp;MID(I1077,2,4)+1),CELL("address",AA1077))</f>
        <v>$AA$1077</v>
      </c>
      <c r="K1077" s="98" t="str">
        <f ca="1">IF(G1076&gt;=8,(MID(J1077,1,1)&amp;MID(J1077,2,4)+1),CELL("address",AB1077))</f>
        <v>$AB$1077</v>
      </c>
      <c r="L1077" s="98" t="str">
        <f ca="1">IF(G1076&gt;=9,(MID(K1077,1,1)&amp;MID(K1077,2,4)+1),CELL("address",AC1077))</f>
        <v>$AC$1077</v>
      </c>
      <c r="M1077" s="98" t="str">
        <f ca="1">IF(G1076&gt;=10,(MID(L1077,1,1)&amp;MID(L1077,2,4)+1),CELL("address",AD1077))</f>
        <v>$AD$1077</v>
      </c>
      <c r="N1077" s="98" t="str">
        <f ca="1">IF(G1076&gt;=11,(MID(M1077,1,1)&amp;MID(M1077,2,4)+1),CELL("address",AE1077))</f>
        <v>$AE$1077</v>
      </c>
      <c r="O1077" s="98" t="str">
        <f ca="1">IF(G1076&gt;=12,(MID(N1077,1,1)&amp;MID(N1077,2,4)+1),CELL("address",AF1077))</f>
        <v>$AF$1077</v>
      </c>
    </row>
    <row r="1078" spans="1:18" ht="15" customHeight="1">
      <c r="A1078" s="267" t="s">
        <v>5</v>
      </c>
      <c r="B1078" s="267"/>
      <c r="C1078" s="64" t="s">
        <v>17</v>
      </c>
      <c r="D1078" s="65" t="s">
        <v>18</v>
      </c>
      <c r="E1078" s="64" t="s">
        <v>7</v>
      </c>
      <c r="G1078" s="175" t="str">
        <f>CONCATENATE("Misc. Healthy parts/ Non Ferrous  Scrap, Lying at ",C1079,". Quantity in MT - ")</f>
        <v>Misc. Healthy parts/ Non Ferrous  Scrap, Lying at TRY Bathinda. Quantity in MT - </v>
      </c>
      <c r="H1078" s="285" t="str">
        <f ca="1">CONCATENATE(G1078,G1079,(INDIRECT(I1079)),(INDIRECT(J1079)),(INDIRECT(K1079)),(INDIRECT(L1079)),(INDIRECT(M1079)),(INDIRECT(N1079)),(INDIRECT(O1079)),(INDIRECT(P1079)),(INDIRECT(Q1079)),(INDIRECT(R1079)),".")</f>
        <v>Misc. Healthy parts/ Non Ferrous  Scrap, Lying at TRY Bathinda. Quantity in MT - Brass scrap - 1, .</v>
      </c>
      <c r="I1078" s="98" t="str">
        <f aca="true" ca="1" t="array" ref="I1078">CELL("address",INDEX(G1078:G1102,MATCH(TRUE,ISBLANK(G1078:G1102),0)))</f>
        <v>$G$1080</v>
      </c>
      <c r="J1078" s="98">
        <f aca="true" t="array" ref="J1078">MATCH(TRUE,ISBLANK(G1078:G1102),0)</f>
        <v>3</v>
      </c>
      <c r="K1078" s="98">
        <f>J1078-3</f>
        <v>0</v>
      </c>
      <c r="L1078" s="98"/>
      <c r="M1078" s="98"/>
      <c r="N1078" s="98"/>
      <c r="O1078" s="98"/>
      <c r="P1078" s="98"/>
      <c r="Q1078" s="98"/>
      <c r="R1078" s="98"/>
    </row>
    <row r="1079" spans="1:18" ht="15" customHeight="1">
      <c r="A1079" s="267" t="s">
        <v>203</v>
      </c>
      <c r="B1079" s="267"/>
      <c r="C1079" s="222" t="s">
        <v>36</v>
      </c>
      <c r="D1079" s="40" t="s">
        <v>23</v>
      </c>
      <c r="E1079" s="46">
        <v>1</v>
      </c>
      <c r="G1079" s="102" t="str">
        <f>CONCATENATE(D1079," - ",E1079,", ")</f>
        <v>Brass scrap - 1, </v>
      </c>
      <c r="H1079" s="285"/>
      <c r="I1079" s="98" t="str">
        <f ca="1">IF(J1078&gt;=3,(MID(I1078,2,1)&amp;MID(I1078,4,4)-K1078),CELL("address",Z1079))</f>
        <v>G1080</v>
      </c>
      <c r="J1079" s="98" t="str">
        <f ca="1">IF(J1078&gt;=4,(MID(I1079,1,1)&amp;MID(I1079,2,4)+1),CELL("address",AA1079))</f>
        <v>$AA$1079</v>
      </c>
      <c r="K1079" s="98" t="str">
        <f ca="1">IF(J1078&gt;=5,(MID(J1079,1,1)&amp;MID(J1079,2,4)+1),CELL("address",AB1079))</f>
        <v>$AB$1079</v>
      </c>
      <c r="L1079" s="98" t="str">
        <f ca="1">IF(J1078&gt;=6,(MID(K1079,1,1)&amp;MID(K1079,2,4)+1),CELL("address",AC1079))</f>
        <v>$AC$1079</v>
      </c>
      <c r="M1079" s="98" t="str">
        <f ca="1">IF(J1078&gt;=7,(MID(L1079,1,1)&amp;MID(L1079,2,4)+1),CELL("address",AD1079))</f>
        <v>$AD$1079</v>
      </c>
      <c r="N1079" s="98" t="str">
        <f ca="1">IF(J1078&gt;=8,(MID(M1079,1,1)&amp;MID(M1079,2,4)+1),CELL("address",AE1079))</f>
        <v>$AE$1079</v>
      </c>
      <c r="O1079" s="98" t="str">
        <f ca="1">IF(J1078&gt;=9,(MID(N1079,1,1)&amp;MID(N1079,2,4)+1),CELL("address",AF1079))</f>
        <v>$AF$1079</v>
      </c>
      <c r="P1079" s="98" t="str">
        <f ca="1">IF(J1078&gt;=10,(MID(O1079,1,1)&amp;MID(O1079,2,4)+1),CELL("address",AG1079))</f>
        <v>$AG$1079</v>
      </c>
      <c r="Q1079" s="98" t="str">
        <f ca="1">IF(J1078&gt;=11,(MID(P1079,1,1)&amp;MID(P1079,2,4)+1),CELL("address",AH1079))</f>
        <v>$AH$1079</v>
      </c>
      <c r="R1079" s="98" t="str">
        <f ca="1">IF(J1078&gt;=12,(MID(Q1079,1,1)&amp;MID(Q1079,2,4)+1),CELL("address",AI1079))</f>
        <v>$AI$1079</v>
      </c>
    </row>
    <row r="1080" spans="1:8" ht="15" customHeight="1">
      <c r="A1080" s="51"/>
      <c r="B1080" s="54"/>
      <c r="C1080" s="19"/>
      <c r="D1080" s="54"/>
      <c r="E1080" s="96"/>
      <c r="H1080" s="1"/>
    </row>
    <row r="1081" spans="1:8" ht="15" customHeight="1">
      <c r="A1081" s="271"/>
      <c r="B1081" s="272"/>
      <c r="C1081" s="66"/>
      <c r="D1081" s="66"/>
      <c r="E1081" s="67">
        <f>SUM(E1083:E1087)</f>
        <v>3.617</v>
      </c>
      <c r="H1081" s="1"/>
    </row>
    <row r="1082" spans="1:18" ht="15" customHeight="1">
      <c r="A1082" s="267" t="s">
        <v>5</v>
      </c>
      <c r="B1082" s="267"/>
      <c r="C1082" s="64" t="s">
        <v>17</v>
      </c>
      <c r="D1082" s="65" t="s">
        <v>18</v>
      </c>
      <c r="E1082" s="64" t="s">
        <v>7</v>
      </c>
      <c r="F1082" s="98"/>
      <c r="G1082" s="175" t="str">
        <f>CONCATENATE("Misc. Healthy parts/ Non Ferrous  Scrap, Lying at ",C1083,". Quantity in MT - ")</f>
        <v>Misc. Healthy parts/ Non Ferrous  Scrap, Lying at TRY Kotkapura. Quantity in MT - </v>
      </c>
      <c r="H1082" s="285" t="str">
        <f ca="1">CONCATENATE(G1082,G1083,(INDIRECT(I1083)),(INDIRECT(J1083)),(INDIRECT(K1083)),(INDIRECT(L1083)),(INDIRECT(M1083)),(INDIRECT(N1083)),(INDIRECT(O1083)),(INDIRECT(P1083)),(INDIRECT(Q1083)),(INDIRECT(R1083)),".")</f>
        <v>Misc. Healthy parts/ Non Ferrous  Scrap, Lying at TRY Kotkapura. Quantity in MT - Brass scrap - 2.059, Misc. Alumn. Scrap - 0.324, Iron scrap - 0.128, Burnt Cu scrap - 0.052, Nuts &amp; Bolts scrap - 1.054, .</v>
      </c>
      <c r="I1082" s="98" t="str">
        <f aca="true" ca="1" t="array" ref="I1082">CELL("address",INDEX(G1082:G1106,MATCH(TRUE,ISBLANK(G1082:G1106),0)))</f>
        <v>$G$1088</v>
      </c>
      <c r="J1082" s="98">
        <f aca="true" t="array" ref="J1082">MATCH(TRUE,ISBLANK(G1082:G1106),0)</f>
        <v>7</v>
      </c>
      <c r="K1082" s="98">
        <f>J1082-3</f>
        <v>4</v>
      </c>
      <c r="L1082" s="98"/>
      <c r="M1082" s="98"/>
      <c r="N1082" s="98"/>
      <c r="O1082" s="98"/>
      <c r="P1082" s="98"/>
      <c r="Q1082" s="98"/>
      <c r="R1082" s="98"/>
    </row>
    <row r="1083" spans="1:18" ht="15" customHeight="1">
      <c r="A1083" s="267" t="s">
        <v>210</v>
      </c>
      <c r="B1083" s="267"/>
      <c r="C1083" s="268" t="s">
        <v>248</v>
      </c>
      <c r="D1083" s="45" t="s">
        <v>23</v>
      </c>
      <c r="E1083" s="47">
        <v>2.059</v>
      </c>
      <c r="F1083" s="98"/>
      <c r="G1083" s="102" t="str">
        <f>CONCATENATE(D1083," - ",E1083,", ")</f>
        <v>Brass scrap - 2.059, </v>
      </c>
      <c r="H1083" s="285"/>
      <c r="I1083" s="98" t="str">
        <f ca="1">IF(J1082&gt;=3,(MID(I1082,2,1)&amp;MID(I1082,4,4)-K1082),CELL("address",Z1083))</f>
        <v>G1084</v>
      </c>
      <c r="J1083" s="98" t="str">
        <f ca="1">IF(J1082&gt;=4,(MID(I1083,1,1)&amp;MID(I1083,2,4)+1),CELL("address",AA1083))</f>
        <v>G1085</v>
      </c>
      <c r="K1083" s="98" t="str">
        <f ca="1">IF(J1082&gt;=5,(MID(J1083,1,1)&amp;MID(J1083,2,4)+1),CELL("address",AB1083))</f>
        <v>G1086</v>
      </c>
      <c r="L1083" s="98" t="str">
        <f ca="1">IF(J1082&gt;=6,(MID(K1083,1,1)&amp;MID(K1083,2,4)+1),CELL("address",AC1083))</f>
        <v>G1087</v>
      </c>
      <c r="M1083" s="98" t="str">
        <f ca="1">IF(J1082&gt;=7,(MID(L1083,1,1)&amp;MID(L1083,2,4)+1),CELL("address",AD1083))</f>
        <v>G1088</v>
      </c>
      <c r="N1083" s="98" t="str">
        <f ca="1">IF(J1082&gt;=8,(MID(M1083,1,1)&amp;MID(M1083,2,4)+1),CELL("address",AE1083))</f>
        <v>$AE$1083</v>
      </c>
      <c r="O1083" s="98" t="str">
        <f ca="1">IF(J1082&gt;=9,(MID(N1083,1,1)&amp;MID(N1083,2,4)+1),CELL("address",AF1083))</f>
        <v>$AF$1083</v>
      </c>
      <c r="P1083" s="98" t="str">
        <f ca="1">IF(J1082&gt;=10,(MID(O1083,1,1)&amp;MID(O1083,2,4)+1),CELL("address",AG1083))</f>
        <v>$AG$1083</v>
      </c>
      <c r="Q1083" s="98" t="str">
        <f ca="1">IF(J1082&gt;=11,(MID(P1083,1,1)&amp;MID(P1083,2,4)+1),CELL("address",AH1083))</f>
        <v>$AH$1083</v>
      </c>
      <c r="R1083" s="98" t="str">
        <f ca="1">IF(J1082&gt;=12,(MID(Q1083,1,1)&amp;MID(Q1083,2,4)+1),CELL("address",AI1083))</f>
        <v>$AI$1083</v>
      </c>
    </row>
    <row r="1084" spans="1:8" ht="15" customHeight="1">
      <c r="A1084" s="267"/>
      <c r="B1084" s="267"/>
      <c r="C1084" s="268"/>
      <c r="D1084" s="45" t="s">
        <v>31</v>
      </c>
      <c r="E1084" s="64">
        <v>0.324</v>
      </c>
      <c r="G1084" s="102" t="str">
        <f>CONCATENATE(D1084," - ",E1084,", ")</f>
        <v>Misc. Alumn. Scrap - 0.324, </v>
      </c>
      <c r="H1084" s="1"/>
    </row>
    <row r="1085" spans="1:8" ht="15" customHeight="1">
      <c r="A1085" s="267"/>
      <c r="B1085" s="267"/>
      <c r="C1085" s="268"/>
      <c r="D1085" s="40" t="s">
        <v>27</v>
      </c>
      <c r="E1085" s="64">
        <v>0.128</v>
      </c>
      <c r="G1085" s="102" t="str">
        <f>CONCATENATE(D1085," - ",E1085,", ")</f>
        <v>Iron scrap - 0.128, </v>
      </c>
      <c r="H1085" s="1"/>
    </row>
    <row r="1086" spans="1:8" ht="15" customHeight="1">
      <c r="A1086" s="267"/>
      <c r="B1086" s="267"/>
      <c r="C1086" s="268"/>
      <c r="D1086" s="40" t="s">
        <v>37</v>
      </c>
      <c r="E1086" s="64">
        <v>0.052</v>
      </c>
      <c r="G1086" s="102" t="str">
        <f>CONCATENATE(D1086," - ",E1086,", ")</f>
        <v>Burnt Cu scrap - 0.052, </v>
      </c>
      <c r="H1086" s="1"/>
    </row>
    <row r="1087" spans="1:8" ht="15" customHeight="1">
      <c r="A1087" s="267"/>
      <c r="B1087" s="267"/>
      <c r="C1087" s="268"/>
      <c r="D1087" s="40" t="s">
        <v>58</v>
      </c>
      <c r="E1087" s="64">
        <v>1.054</v>
      </c>
      <c r="G1087" s="102" t="str">
        <f>CONCATENATE(D1087," - ",E1087,", ")</f>
        <v>Nuts &amp; Bolts scrap - 1.054, </v>
      </c>
      <c r="H1087" s="1"/>
    </row>
    <row r="1088" spans="1:8" ht="15" customHeight="1">
      <c r="A1088" s="269"/>
      <c r="B1088" s="270"/>
      <c r="C1088" s="222"/>
      <c r="D1088" s="230"/>
      <c r="E1088" s="104"/>
      <c r="H1088" s="1"/>
    </row>
    <row r="1089" spans="1:8" ht="15" customHeight="1">
      <c r="A1089" s="271"/>
      <c r="B1089" s="272"/>
      <c r="C1089" s="66"/>
      <c r="D1089" s="66"/>
      <c r="E1089" s="67">
        <f>SUM(E1091:E1094)</f>
        <v>1.557</v>
      </c>
      <c r="H1089" s="1"/>
    </row>
    <row r="1090" spans="1:18" ht="15" customHeight="1">
      <c r="A1090" s="269" t="s">
        <v>5</v>
      </c>
      <c r="B1090" s="270"/>
      <c r="C1090" s="64" t="s">
        <v>17</v>
      </c>
      <c r="D1090" s="65" t="s">
        <v>18</v>
      </c>
      <c r="E1090" s="64" t="s">
        <v>7</v>
      </c>
      <c r="G1090" s="175" t="str">
        <f>CONCATENATE("Misc. Healthy parts/ Non Ferrous  Scrap, Lying at ",C1091,". Quantity in MT - ")</f>
        <v>Misc. Healthy parts/ Non Ferrous  Scrap, Lying at TRY Mansa. Quantity in MT - </v>
      </c>
      <c r="H1090" s="285" t="str">
        <f ca="1">CONCATENATE(G1090,G1091,(INDIRECT(I1091)),(INDIRECT(J1091)),(INDIRECT(K1091)),(INDIRECT(L1091)),(INDIRECT(M1091)),(INDIRECT(N1091)),(INDIRECT(O1091)),(INDIRECT(P1091)),(INDIRECT(Q1091)),(INDIRECT(R1091)),".")</f>
        <v>Misc. Healthy parts/ Non Ferrous  Scrap, Lying at TRY Mansa. Quantity in MT - Brass scrap - 1.302, Misc. Aluminium scrap - 0.147, Burnt Cu scrap - 0.027,  Iron scrap - 0.081, .</v>
      </c>
      <c r="I1090" s="98" t="str">
        <f aca="true" ca="1" t="array" ref="I1090">CELL("address",INDEX(G1090:G1112,MATCH(TRUE,ISBLANK(G1090:G1112),0)))</f>
        <v>$G$1095</v>
      </c>
      <c r="J1090" s="98">
        <f aca="true" t="array" ref="J1090">MATCH(TRUE,ISBLANK(G1090:G1112),0)</f>
        <v>6</v>
      </c>
      <c r="K1090" s="98">
        <f>J1090-3</f>
        <v>3</v>
      </c>
      <c r="L1090" s="98"/>
      <c r="M1090" s="98"/>
      <c r="N1090" s="98"/>
      <c r="O1090" s="98"/>
      <c r="P1090" s="98"/>
      <c r="Q1090" s="98"/>
      <c r="R1090" s="98"/>
    </row>
    <row r="1091" spans="1:18" ht="15" customHeight="1">
      <c r="A1091" s="267" t="s">
        <v>234</v>
      </c>
      <c r="B1091" s="267"/>
      <c r="C1091" s="268" t="s">
        <v>166</v>
      </c>
      <c r="D1091" s="40" t="s">
        <v>23</v>
      </c>
      <c r="E1091" s="46">
        <v>1.302</v>
      </c>
      <c r="F1091" s="98"/>
      <c r="G1091" s="102" t="str">
        <f>CONCATENATE(D1091," - ",E1091,", ")</f>
        <v>Brass scrap - 1.302, </v>
      </c>
      <c r="H1091" s="285"/>
      <c r="I1091" s="98" t="str">
        <f ca="1">IF(J1090&gt;=3,(MID(I1090,2,1)&amp;MID(I1090,4,4)-K1090),CELL("address",Z1091))</f>
        <v>G1092</v>
      </c>
      <c r="J1091" s="98" t="str">
        <f ca="1">IF(J1090&gt;=4,(MID(I1091,1,1)&amp;MID(I1091,2,4)+1),CELL("address",AA1091))</f>
        <v>G1093</v>
      </c>
      <c r="K1091" s="98" t="str">
        <f ca="1">IF(J1090&gt;=5,(MID(J1091,1,1)&amp;MID(J1091,2,4)+1),CELL("address",AB1091))</f>
        <v>G1094</v>
      </c>
      <c r="L1091" s="98" t="str">
        <f ca="1">IF(J1090&gt;=6,(MID(K1091,1,1)&amp;MID(K1091,2,4)+1),CELL("address",AC1091))</f>
        <v>G1095</v>
      </c>
      <c r="M1091" s="98" t="str">
        <f ca="1">IF(J1090&gt;=7,(MID(L1091,1,1)&amp;MID(L1091,2,4)+1),CELL("address",AD1091))</f>
        <v>$AD$1091</v>
      </c>
      <c r="N1091" s="98" t="str">
        <f ca="1">IF(J1090&gt;=8,(MID(M1091,1,1)&amp;MID(M1091,2,4)+1),CELL("address",AE1091))</f>
        <v>$AE$1091</v>
      </c>
      <c r="O1091" s="98" t="str">
        <f ca="1">IF(J1090&gt;=9,(MID(N1091,1,1)&amp;MID(N1091,2,4)+1),CELL("address",AF1091))</f>
        <v>$AF$1091</v>
      </c>
      <c r="P1091" s="98" t="str">
        <f ca="1">IF(J1090&gt;=10,(MID(O1091,1,1)&amp;MID(O1091,2,4)+1),CELL("address",AG1091))</f>
        <v>$AG$1091</v>
      </c>
      <c r="Q1091" s="98" t="str">
        <f ca="1">IF(J1090&gt;=11,(MID(P1091,1,1)&amp;MID(P1091,2,4)+1),CELL("address",AH1091))</f>
        <v>$AH$1091</v>
      </c>
      <c r="R1091" s="98" t="str">
        <f ca="1">IF(J1090&gt;=12,(MID(Q1091,1,1)&amp;MID(Q1091,2,4)+1),CELL("address",AI1091))</f>
        <v>$AI$1091</v>
      </c>
    </row>
    <row r="1092" spans="1:15" ht="15" customHeight="1">
      <c r="A1092" s="267"/>
      <c r="B1092" s="267"/>
      <c r="C1092" s="268"/>
      <c r="D1092" s="40" t="s">
        <v>24</v>
      </c>
      <c r="E1092" s="46">
        <v>0.147</v>
      </c>
      <c r="F1092" s="98"/>
      <c r="G1092" s="102" t="str">
        <f>CONCATENATE(D1092," - ",E1092,", ")</f>
        <v>Misc. Aluminium scrap - 0.147, </v>
      </c>
      <c r="H1092" s="98"/>
      <c r="I1092" s="98" t="e">
        <f ca="1">IF(G1091&gt;=6,(MID(H1092,1,1)&amp;MID(H1092,2,4)+1),CELL("address",Z1092))</f>
        <v>#VALUE!</v>
      </c>
      <c r="J1092" s="98" t="e">
        <f ca="1">IF(G1091&gt;=7,(MID(I1092,1,1)&amp;MID(I1092,2,4)+1),CELL("address",AA1092))</f>
        <v>#VALUE!</v>
      </c>
      <c r="K1092" s="98" t="e">
        <f ca="1">IF(G1091&gt;=8,(MID(J1092,1,1)&amp;MID(J1092,2,4)+1),CELL("address",AB1092))</f>
        <v>#VALUE!</v>
      </c>
      <c r="L1092" s="98" t="e">
        <f ca="1">IF(G1091&gt;=9,(MID(K1092,1,1)&amp;MID(K1092,2,4)+1),CELL("address",AC1092))</f>
        <v>#VALUE!</v>
      </c>
      <c r="M1092" s="98" t="e">
        <f ca="1">IF(G1091&gt;=10,(MID(L1092,1,1)&amp;MID(L1092,2,4)+1),CELL("address",AD1092))</f>
        <v>#VALUE!</v>
      </c>
      <c r="N1092" s="98" t="e">
        <f ca="1">IF(G1091&gt;=11,(MID(M1092,1,1)&amp;MID(M1092,2,4)+1),CELL("address",AE1092))</f>
        <v>#VALUE!</v>
      </c>
      <c r="O1092" s="98" t="e">
        <f ca="1">IF(G1091&gt;=12,(MID(N1092,1,1)&amp;MID(N1092,2,4)+1),CELL("address",AF1092))</f>
        <v>#VALUE!</v>
      </c>
    </row>
    <row r="1093" spans="1:8" ht="15" customHeight="1">
      <c r="A1093" s="267"/>
      <c r="B1093" s="267"/>
      <c r="C1093" s="268"/>
      <c r="D1093" s="40" t="s">
        <v>37</v>
      </c>
      <c r="E1093" s="46">
        <v>0.027</v>
      </c>
      <c r="G1093" s="102" t="str">
        <f>CONCATENATE(D1093," - ",E1093,", ")</f>
        <v>Burnt Cu scrap - 0.027, </v>
      </c>
      <c r="H1093" s="1"/>
    </row>
    <row r="1094" spans="1:8" ht="15" customHeight="1">
      <c r="A1094" s="267"/>
      <c r="B1094" s="267"/>
      <c r="C1094" s="268"/>
      <c r="D1094" s="45" t="s">
        <v>75</v>
      </c>
      <c r="E1094" s="46">
        <v>0.081</v>
      </c>
      <c r="G1094" s="102" t="str">
        <f>CONCATENATE(D1094," - ",E1094,", ")</f>
        <v> Iron scrap - 0.081, </v>
      </c>
      <c r="H1094" s="1"/>
    </row>
    <row r="1095" spans="1:8" ht="15" customHeight="1">
      <c r="A1095" s="35"/>
      <c r="B1095" s="1"/>
      <c r="C1095" s="1"/>
      <c r="D1095" s="1"/>
      <c r="E1095" s="1"/>
      <c r="H1095" s="1"/>
    </row>
    <row r="1096" spans="1:8" ht="15" customHeight="1">
      <c r="A1096" s="271"/>
      <c r="B1096" s="272"/>
      <c r="C1096" s="66"/>
      <c r="D1096" s="66"/>
      <c r="E1096" s="67">
        <f>SUM(E1098:E1102)</f>
        <v>2.086</v>
      </c>
      <c r="H1096" s="1"/>
    </row>
    <row r="1097" spans="1:18" ht="15" customHeight="1">
      <c r="A1097" s="269" t="s">
        <v>5</v>
      </c>
      <c r="B1097" s="270"/>
      <c r="C1097" s="64" t="s">
        <v>17</v>
      </c>
      <c r="D1097" s="65" t="s">
        <v>18</v>
      </c>
      <c r="E1097" s="64" t="s">
        <v>7</v>
      </c>
      <c r="G1097" s="175" t="str">
        <f>CONCATENATE("Misc. Healthy parts/ Non Ferrous  Scrap, Lying at ",C1098,". Quantity in MT - ")</f>
        <v>Misc. Healthy parts/ Non Ferrous  Scrap, Lying at TRY Bhagta Bhai Ka. Quantity in MT - </v>
      </c>
      <c r="H1097" s="285" t="str">
        <f ca="1">CONCATENATE(G1097,G1098,(INDIRECT(I1098)),(INDIRECT(J1098)),(INDIRECT(K1098)),(INDIRECT(L1098)),(INDIRECT(M1098)),(INDIRECT(N1098)),(INDIRECT(O1098)),(INDIRECT(P1098)),(INDIRECT(Q1098)),(INDIRECT(R1098)),".")</f>
        <v>Misc. Healthy parts/ Non Ferrous  Scrap, Lying at TRY Bhagta Bhai Ka. Quantity in MT - Brass scrap - 1.22, Misc. Aluminium scrap - 0.151, Burnt Cu scrap - 0.037,  Iron scrap - 0.088, Nuts &amp; Bolts scrap - 0.59, .</v>
      </c>
      <c r="I1097" s="98" t="str">
        <f aca="true" ca="1" t="array" ref="I1097">CELL("address",INDEX(G1097:G1121,MATCH(TRUE,ISBLANK(G1097:G1121),0)))</f>
        <v>$G$1103</v>
      </c>
      <c r="J1097" s="98">
        <f aca="true" t="array" ref="J1097">MATCH(TRUE,ISBLANK(G1097:G1121),0)</f>
        <v>7</v>
      </c>
      <c r="K1097" s="98">
        <f>J1097-3</f>
        <v>4</v>
      </c>
      <c r="L1097" s="98"/>
      <c r="M1097" s="98"/>
      <c r="N1097" s="98"/>
      <c r="O1097" s="98"/>
      <c r="P1097" s="98"/>
      <c r="Q1097" s="98"/>
      <c r="R1097" s="98"/>
    </row>
    <row r="1098" spans="1:18" ht="15" customHeight="1">
      <c r="A1098" s="279" t="s">
        <v>194</v>
      </c>
      <c r="B1098" s="280"/>
      <c r="C1098" s="277" t="s">
        <v>132</v>
      </c>
      <c r="D1098" s="40" t="s">
        <v>23</v>
      </c>
      <c r="E1098" s="46">
        <v>1.22</v>
      </c>
      <c r="G1098" s="102" t="str">
        <f>CONCATENATE(D1098," - ",E1098,", ")</f>
        <v>Brass scrap - 1.22, </v>
      </c>
      <c r="H1098" s="285"/>
      <c r="I1098" s="98" t="str">
        <f ca="1">IF(J1097&gt;=3,(MID(I1097,2,1)&amp;MID(I1097,4,4)-K1097),CELL("address",Z1098))</f>
        <v>G1099</v>
      </c>
      <c r="J1098" s="98" t="str">
        <f ca="1">IF(J1097&gt;=4,(MID(I1098,1,1)&amp;MID(I1098,2,4)+1),CELL("address",AA1098))</f>
        <v>G1100</v>
      </c>
      <c r="K1098" s="98" t="str">
        <f ca="1">IF(J1097&gt;=5,(MID(J1098,1,1)&amp;MID(J1098,2,4)+1),CELL("address",AB1098))</f>
        <v>G1101</v>
      </c>
      <c r="L1098" s="98" t="str">
        <f ca="1">IF(J1097&gt;=6,(MID(K1098,1,1)&amp;MID(K1098,2,4)+1),CELL("address",AC1098))</f>
        <v>G1102</v>
      </c>
      <c r="M1098" s="98" t="str">
        <f ca="1">IF(J1097&gt;=7,(MID(L1098,1,1)&amp;MID(L1098,2,4)+1),CELL("address",AD1098))</f>
        <v>G1103</v>
      </c>
      <c r="N1098" s="98" t="str">
        <f ca="1">IF(J1097&gt;=8,(MID(M1098,1,1)&amp;MID(M1098,2,4)+1),CELL("address",AE1098))</f>
        <v>$AE$1098</v>
      </c>
      <c r="O1098" s="98" t="str">
        <f ca="1">IF(J1097&gt;=9,(MID(N1098,1,1)&amp;MID(N1098,2,4)+1),CELL("address",AF1098))</f>
        <v>$AF$1098</v>
      </c>
      <c r="P1098" s="98" t="str">
        <f ca="1">IF(J1097&gt;=10,(MID(O1098,1,1)&amp;MID(O1098,2,4)+1),CELL("address",AG1098))</f>
        <v>$AG$1098</v>
      </c>
      <c r="Q1098" s="98" t="str">
        <f ca="1">IF(J1097&gt;=11,(MID(P1098,1,1)&amp;MID(P1098,2,4)+1),CELL("address",AH1098))</f>
        <v>$AH$1098</v>
      </c>
      <c r="R1098" s="98" t="str">
        <f ca="1">IF(J1097&gt;=12,(MID(Q1098,1,1)&amp;MID(Q1098,2,4)+1),CELL("address",AI1098))</f>
        <v>$AI$1098</v>
      </c>
    </row>
    <row r="1099" spans="1:15" ht="15" customHeight="1">
      <c r="A1099" s="294"/>
      <c r="B1099" s="295"/>
      <c r="C1099" s="293"/>
      <c r="D1099" s="40" t="s">
        <v>24</v>
      </c>
      <c r="E1099" s="46">
        <v>0.151</v>
      </c>
      <c r="F1099" s="98"/>
      <c r="G1099" s="102" t="str">
        <f>CONCATENATE(D1099," - ",E1099,", ")</f>
        <v>Misc. Aluminium scrap - 0.151, </v>
      </c>
      <c r="H1099" s="98"/>
      <c r="I1099" s="98"/>
      <c r="J1099" s="98"/>
      <c r="K1099" s="98"/>
      <c r="L1099" s="98"/>
      <c r="M1099" s="98"/>
      <c r="N1099" s="98"/>
      <c r="O1099" s="98"/>
    </row>
    <row r="1100" spans="1:15" ht="15" customHeight="1">
      <c r="A1100" s="294"/>
      <c r="B1100" s="295"/>
      <c r="C1100" s="293"/>
      <c r="D1100" s="40" t="s">
        <v>37</v>
      </c>
      <c r="E1100" s="46">
        <v>0.037</v>
      </c>
      <c r="F1100" s="98"/>
      <c r="G1100" s="102" t="str">
        <f>CONCATENATE(D1100," - ",E1100,", ")</f>
        <v>Burnt Cu scrap - 0.037, </v>
      </c>
      <c r="H1100" s="98"/>
      <c r="I1100" s="98" t="e">
        <f ca="1">IF(G1099&gt;=6,(MID(H1100,1,1)&amp;MID(H1100,2,4)+1),CELL("address",Z1100))</f>
        <v>#VALUE!</v>
      </c>
      <c r="J1100" s="98" t="e">
        <f ca="1">IF(G1099&gt;=7,(MID(I1100,1,1)&amp;MID(I1100,2,4)+1),CELL("address",AA1100))</f>
        <v>#VALUE!</v>
      </c>
      <c r="K1100" s="98" t="e">
        <f ca="1">IF(G1099&gt;=8,(MID(J1100,1,1)&amp;MID(J1100,2,4)+1),CELL("address",AB1100))</f>
        <v>#VALUE!</v>
      </c>
      <c r="L1100" s="98" t="e">
        <f ca="1">IF(G1099&gt;=9,(MID(K1100,1,1)&amp;MID(K1100,2,4)+1),CELL("address",AC1100))</f>
        <v>#VALUE!</v>
      </c>
      <c r="M1100" s="98" t="e">
        <f ca="1">IF(G1099&gt;=10,(MID(L1100,1,1)&amp;MID(L1100,2,4)+1),CELL("address",AD1100))</f>
        <v>#VALUE!</v>
      </c>
      <c r="N1100" s="98" t="e">
        <f ca="1">IF(G1099&gt;=11,(MID(M1100,1,1)&amp;MID(M1100,2,4)+1),CELL("address",AE1100))</f>
        <v>#VALUE!</v>
      </c>
      <c r="O1100" s="98" t="e">
        <f ca="1">IF(G1099&gt;=12,(MID(N1100,1,1)&amp;MID(N1100,2,4)+1),CELL("address",AF1100))</f>
        <v>#VALUE!</v>
      </c>
    </row>
    <row r="1101" spans="1:8" ht="15" customHeight="1">
      <c r="A1101" s="294"/>
      <c r="B1101" s="295"/>
      <c r="C1101" s="293"/>
      <c r="D1101" s="45" t="s">
        <v>75</v>
      </c>
      <c r="E1101" s="46">
        <v>0.088</v>
      </c>
      <c r="G1101" s="102" t="str">
        <f>CONCATENATE(D1101," - ",E1101,", ")</f>
        <v> Iron scrap - 0.088, </v>
      </c>
      <c r="H1101" s="1"/>
    </row>
    <row r="1102" spans="1:8" ht="15" customHeight="1">
      <c r="A1102" s="281"/>
      <c r="B1102" s="282"/>
      <c r="C1102" s="278"/>
      <c r="D1102" s="40" t="s">
        <v>58</v>
      </c>
      <c r="E1102" s="46">
        <v>0.59</v>
      </c>
      <c r="G1102" s="102" t="str">
        <f>CONCATENATE(D1102," - ",E1102,", ")</f>
        <v>Nuts &amp; Bolts scrap - 0.59, </v>
      </c>
      <c r="H1102" s="1"/>
    </row>
    <row r="1103" spans="1:15" ht="15" customHeight="1">
      <c r="A1103" s="51"/>
      <c r="B1103" s="54"/>
      <c r="C1103" s="19"/>
      <c r="D1103" s="54"/>
      <c r="E1103" s="96"/>
      <c r="F1103" s="98"/>
      <c r="G1103" s="98"/>
      <c r="H1103" s="98"/>
      <c r="I1103" s="98"/>
      <c r="J1103" s="98"/>
      <c r="K1103" s="98"/>
      <c r="L1103" s="98"/>
      <c r="M1103" s="98"/>
      <c r="N1103" s="98"/>
      <c r="O1103" s="98"/>
    </row>
    <row r="1104" spans="1:15" ht="15" customHeight="1">
      <c r="A1104" s="271"/>
      <c r="B1104" s="272"/>
      <c r="C1104" s="66"/>
      <c r="D1104" s="66"/>
      <c r="E1104" s="119">
        <f>SUM(E1106:E1106)</f>
        <v>0.021</v>
      </c>
      <c r="F1104" s="98"/>
      <c r="G1104" s="98"/>
      <c r="H1104" s="98"/>
      <c r="I1104" s="98" t="str">
        <f ca="1">IF(G1103&gt;=6,(MID(H1104,1,1)&amp;MID(H1104,2,4)+1),CELL("address",Z1104))</f>
        <v>$Z$1104</v>
      </c>
      <c r="J1104" s="98" t="str">
        <f ca="1">IF(G1103&gt;=7,(MID(I1104,1,1)&amp;MID(I1104,2,4)+1),CELL("address",AA1104))</f>
        <v>$AA$1104</v>
      </c>
      <c r="K1104" s="98" t="str">
        <f ca="1">IF(G1103&gt;=8,(MID(J1104,1,1)&amp;MID(J1104,2,4)+1),CELL("address",AB1104))</f>
        <v>$AB$1104</v>
      </c>
      <c r="L1104" s="98" t="str">
        <f ca="1">IF(G1103&gt;=9,(MID(K1104,1,1)&amp;MID(K1104,2,4)+1),CELL("address",AC1104))</f>
        <v>$AC$1104</v>
      </c>
      <c r="M1104" s="98" t="str">
        <f ca="1">IF(G1103&gt;=10,(MID(L1104,1,1)&amp;MID(L1104,2,4)+1),CELL("address",AD1104))</f>
        <v>$AD$1104</v>
      </c>
      <c r="N1104" s="98" t="str">
        <f ca="1">IF(G1103&gt;=11,(MID(M1104,1,1)&amp;MID(M1104,2,4)+1),CELL("address",AE1104))</f>
        <v>$AE$1104</v>
      </c>
      <c r="O1104" s="98" t="str">
        <f ca="1">IF(G1103&gt;=12,(MID(N1104,1,1)&amp;MID(N1104,2,4)+1),CELL("address",AF1104))</f>
        <v>$AF$1104</v>
      </c>
    </row>
    <row r="1105" spans="1:18" ht="15" customHeight="1">
      <c r="A1105" s="267" t="s">
        <v>5</v>
      </c>
      <c r="B1105" s="267"/>
      <c r="C1105" s="64" t="s">
        <v>17</v>
      </c>
      <c r="D1105" s="65" t="s">
        <v>18</v>
      </c>
      <c r="E1105" s="68" t="s">
        <v>7</v>
      </c>
      <c r="G1105" s="175" t="str">
        <f>CONCATENATE("Misc. Healthy parts/ Non Ferrous  Scrap, Lying at ",C1106,". Quantity in MT - ")</f>
        <v>Misc. Healthy parts/ Non Ferrous  Scrap, Lying at OL Barnala. Quantity in MT - </v>
      </c>
      <c r="H1105" s="285" t="str">
        <f ca="1">CONCATENATE(G1105,G1106,(INDIRECT(I1106)),(INDIRECT(J1106)),(INDIRECT(K1106)),(INDIRECT(L1106)),(INDIRECT(M1106)),(INDIRECT(N1106)),(INDIRECT(O1106)),(INDIRECT(P1106)),(INDIRECT(Q1106)),(INDIRECT(R1106)),".")</f>
        <v>Misc. Healthy parts/ Non Ferrous  Scrap, Lying at OL Barnala. Quantity in MT - Misc. copper scrap - 0.021, .</v>
      </c>
      <c r="I1105" s="98" t="str">
        <f aca="true" ca="1" t="array" ref="I1105">CELL("address",INDEX(G1105:G1129,MATCH(TRUE,ISBLANK(G1105:G1129),0)))</f>
        <v>$G$1107</v>
      </c>
      <c r="J1105" s="98">
        <f aca="true" t="array" ref="J1105">MATCH(TRUE,ISBLANK(G1105:G1129),0)</f>
        <v>3</v>
      </c>
      <c r="K1105" s="98">
        <f>J1105-3</f>
        <v>0</v>
      </c>
      <c r="L1105" s="98"/>
      <c r="M1105" s="98"/>
      <c r="N1105" s="98"/>
      <c r="O1105" s="98"/>
      <c r="P1105" s="98"/>
      <c r="Q1105" s="98"/>
      <c r="R1105" s="98"/>
    </row>
    <row r="1106" spans="1:18" ht="15" customHeight="1">
      <c r="A1106" s="267" t="s">
        <v>195</v>
      </c>
      <c r="B1106" s="267"/>
      <c r="C1106" s="222" t="s">
        <v>190</v>
      </c>
      <c r="D1106" s="60" t="s">
        <v>111</v>
      </c>
      <c r="E1106" s="69">
        <v>0.021</v>
      </c>
      <c r="G1106" s="102" t="str">
        <f>CONCATENATE(D1106," - ",E1106,", ")</f>
        <v>Misc. copper scrap - 0.021, </v>
      </c>
      <c r="H1106" s="285"/>
      <c r="I1106" s="98" t="str">
        <f ca="1">IF(J1105&gt;=3,(MID(I1105,2,1)&amp;MID(I1105,4,4)-K1105),CELL("address",Z1106))</f>
        <v>G1107</v>
      </c>
      <c r="J1106" s="98" t="str">
        <f ca="1">IF(J1105&gt;=4,(MID(I1106,1,1)&amp;MID(I1106,2,4)+1),CELL("address",AA1106))</f>
        <v>$AA$1106</v>
      </c>
      <c r="K1106" s="98" t="str">
        <f ca="1">IF(J1105&gt;=5,(MID(J1106,1,1)&amp;MID(J1106,2,4)+1),CELL("address",AB1106))</f>
        <v>$AB$1106</v>
      </c>
      <c r="L1106" s="98" t="str">
        <f ca="1">IF(J1105&gt;=6,(MID(K1106,1,1)&amp;MID(K1106,2,4)+1),CELL("address",AC1106))</f>
        <v>$AC$1106</v>
      </c>
      <c r="M1106" s="98" t="str">
        <f ca="1">IF(J1105&gt;=7,(MID(L1106,1,1)&amp;MID(L1106,2,4)+1),CELL("address",AD1106))</f>
        <v>$AD$1106</v>
      </c>
      <c r="N1106" s="98" t="str">
        <f ca="1">IF(J1105&gt;=8,(MID(M1106,1,1)&amp;MID(M1106,2,4)+1),CELL("address",AE1106))</f>
        <v>$AE$1106</v>
      </c>
      <c r="O1106" s="98" t="str">
        <f ca="1">IF(J1105&gt;=9,(MID(N1106,1,1)&amp;MID(N1106,2,4)+1),CELL("address",AF1106))</f>
        <v>$AF$1106</v>
      </c>
      <c r="P1106" s="98" t="str">
        <f ca="1">IF(J1105&gt;=10,(MID(O1106,1,1)&amp;MID(O1106,2,4)+1),CELL("address",AG1106))</f>
        <v>$AG$1106</v>
      </c>
      <c r="Q1106" s="98" t="str">
        <f ca="1">IF(J1105&gt;=11,(MID(P1106,1,1)&amp;MID(P1106,2,4)+1),CELL("address",AH1106))</f>
        <v>$AH$1106</v>
      </c>
      <c r="R1106" s="98" t="str">
        <f ca="1">IF(J1105&gt;=12,(MID(Q1106,1,1)&amp;MID(Q1106,2,4)+1),CELL("address",AI1106))</f>
        <v>$AI$1106</v>
      </c>
    </row>
    <row r="1107" spans="1:8" ht="15" customHeight="1">
      <c r="A1107" s="35"/>
      <c r="B1107" s="1"/>
      <c r="C1107" s="1"/>
      <c r="D1107" s="1"/>
      <c r="E1107" s="1"/>
      <c r="H1107" s="1"/>
    </row>
    <row r="1108" spans="1:8" ht="15" customHeight="1">
      <c r="A1108" s="271"/>
      <c r="B1108" s="272"/>
      <c r="C1108" s="66"/>
      <c r="D1108" s="66"/>
      <c r="E1108" s="119">
        <f>SUM(E1110:E1114)</f>
        <v>3.0719999999999996</v>
      </c>
      <c r="H1108" s="1"/>
    </row>
    <row r="1109" spans="1:18" ht="15" customHeight="1">
      <c r="A1109" s="267" t="s">
        <v>5</v>
      </c>
      <c r="B1109" s="267"/>
      <c r="C1109" s="64" t="s">
        <v>17</v>
      </c>
      <c r="D1109" s="65" t="s">
        <v>18</v>
      </c>
      <c r="E1109" s="68" t="s">
        <v>7</v>
      </c>
      <c r="F1109" s="98"/>
      <c r="G1109" s="175" t="str">
        <f>CONCATENATE("Misc. Healthy parts/ Non Ferrous  Scrap, Lying at ",C1110,". Quantity in MT - ")</f>
        <v>Misc. Healthy parts/ Non Ferrous  Scrap, Lying at TRY Moga. Quantity in MT - </v>
      </c>
      <c r="H1109" s="285" t="str">
        <f ca="1">CONCATENATE(G1109,G1110,(INDIRECT(I1110)),(INDIRECT(J1110)),(INDIRECT(K1110)),(INDIRECT(L1110)),(INDIRECT(M1110)),(INDIRECT(N1110)),(INDIRECT(O1110)),(INDIRECT(P1110)),(INDIRECT(Q1110)),(INDIRECT(R1110)),".")</f>
        <v>Misc. Healthy parts/ Non Ferrous  Scrap, Lying at TRY Moga. Quantity in MT - Brass scrap - 1.769, Misc. Alumn. Scrap - 0.301, Iron scrap - 0.125, Burnt Cu scrap - 0.062, Nuts &amp; Bolts scrap - 0.815, .</v>
      </c>
      <c r="I1109" s="98" t="str">
        <f aca="true" ca="1" t="array" ref="I1109">CELL("address",INDEX(G1109:G1133,MATCH(TRUE,ISBLANK(G1109:G1133),0)))</f>
        <v>$G$1115</v>
      </c>
      <c r="J1109" s="98">
        <f aca="true" t="array" ref="J1109">MATCH(TRUE,ISBLANK(G1109:G1133),0)</f>
        <v>7</v>
      </c>
      <c r="K1109" s="98">
        <f>J1109-3</f>
        <v>4</v>
      </c>
      <c r="L1109" s="98"/>
      <c r="M1109" s="98"/>
      <c r="N1109" s="98"/>
      <c r="O1109" s="98"/>
      <c r="P1109" s="98"/>
      <c r="Q1109" s="98"/>
      <c r="R1109" s="98"/>
    </row>
    <row r="1110" spans="1:18" ht="15" customHeight="1">
      <c r="A1110" s="267" t="s">
        <v>235</v>
      </c>
      <c r="B1110" s="267"/>
      <c r="C1110" s="268" t="s">
        <v>222</v>
      </c>
      <c r="D1110" s="45" t="s">
        <v>23</v>
      </c>
      <c r="E1110" s="120">
        <v>1.769</v>
      </c>
      <c r="F1110" s="98"/>
      <c r="G1110" s="102" t="str">
        <f>CONCATENATE(D1110," - ",E1110,", ")</f>
        <v>Brass scrap - 1.769, </v>
      </c>
      <c r="H1110" s="285"/>
      <c r="I1110" s="98" t="str">
        <f ca="1">IF(J1109&gt;=3,(MID(I1109,2,1)&amp;MID(I1109,4,4)-K1109),CELL("address",Z1110))</f>
        <v>G1111</v>
      </c>
      <c r="J1110" s="98" t="str">
        <f ca="1">IF(J1109&gt;=4,(MID(I1110,1,1)&amp;MID(I1110,2,4)+1),CELL("address",AA1110))</f>
        <v>G1112</v>
      </c>
      <c r="K1110" s="98" t="str">
        <f ca="1">IF(J1109&gt;=5,(MID(J1110,1,1)&amp;MID(J1110,2,4)+1),CELL("address",AB1110))</f>
        <v>G1113</v>
      </c>
      <c r="L1110" s="98" t="str">
        <f ca="1">IF(J1109&gt;=6,(MID(K1110,1,1)&amp;MID(K1110,2,4)+1),CELL("address",AC1110))</f>
        <v>G1114</v>
      </c>
      <c r="M1110" s="98" t="str">
        <f ca="1">IF(J1109&gt;=7,(MID(L1110,1,1)&amp;MID(L1110,2,4)+1),CELL("address",AD1110))</f>
        <v>G1115</v>
      </c>
      <c r="N1110" s="98" t="str">
        <f ca="1">IF(J1109&gt;=8,(MID(M1110,1,1)&amp;MID(M1110,2,4)+1),CELL("address",AE1110))</f>
        <v>$AE$1110</v>
      </c>
      <c r="O1110" s="98" t="str">
        <f ca="1">IF(J1109&gt;=9,(MID(N1110,1,1)&amp;MID(N1110,2,4)+1),CELL("address",AF1110))</f>
        <v>$AF$1110</v>
      </c>
      <c r="P1110" s="98" t="str">
        <f ca="1">IF(J1109&gt;=10,(MID(O1110,1,1)&amp;MID(O1110,2,4)+1),CELL("address",AG1110))</f>
        <v>$AG$1110</v>
      </c>
      <c r="Q1110" s="98" t="str">
        <f ca="1">IF(J1109&gt;=11,(MID(P1110,1,1)&amp;MID(P1110,2,4)+1),CELL("address",AH1110))</f>
        <v>$AH$1110</v>
      </c>
      <c r="R1110" s="98" t="str">
        <f ca="1">IF(J1109&gt;=12,(MID(Q1110,1,1)&amp;MID(Q1110,2,4)+1),CELL("address",AI1110))</f>
        <v>$AI$1110</v>
      </c>
    </row>
    <row r="1111" spans="1:15" ht="15" customHeight="1">
      <c r="A1111" s="267"/>
      <c r="B1111" s="267"/>
      <c r="C1111" s="268"/>
      <c r="D1111" s="45" t="s">
        <v>31</v>
      </c>
      <c r="E1111" s="68">
        <v>0.301</v>
      </c>
      <c r="F1111" s="98"/>
      <c r="G1111" s="102" t="str">
        <f>CONCATENATE(D1111," - ",E1111,", ")</f>
        <v>Misc. Alumn. Scrap - 0.301, </v>
      </c>
      <c r="H1111" s="98"/>
      <c r="I1111" s="98"/>
      <c r="J1111" s="98"/>
      <c r="K1111" s="98"/>
      <c r="L1111" s="98"/>
      <c r="M1111" s="98"/>
      <c r="N1111" s="98"/>
      <c r="O1111" s="98"/>
    </row>
    <row r="1112" spans="1:8" ht="15" customHeight="1">
      <c r="A1112" s="267"/>
      <c r="B1112" s="267"/>
      <c r="C1112" s="268"/>
      <c r="D1112" s="40" t="s">
        <v>27</v>
      </c>
      <c r="E1112" s="68">
        <v>0.125</v>
      </c>
      <c r="G1112" s="102" t="str">
        <f>CONCATENATE(D1112," - ",E1112,", ")</f>
        <v>Iron scrap - 0.125, </v>
      </c>
      <c r="H1112" s="1"/>
    </row>
    <row r="1113" spans="1:8" ht="15" customHeight="1">
      <c r="A1113" s="267"/>
      <c r="B1113" s="267"/>
      <c r="C1113" s="268"/>
      <c r="D1113" s="40" t="s">
        <v>37</v>
      </c>
      <c r="E1113" s="64">
        <v>0.062</v>
      </c>
      <c r="G1113" s="102" t="str">
        <f>CONCATENATE(D1113," - ",E1113,", ")</f>
        <v>Burnt Cu scrap - 0.062, </v>
      </c>
      <c r="H1113" s="1"/>
    </row>
    <row r="1114" spans="1:8" ht="15" customHeight="1">
      <c r="A1114" s="267"/>
      <c r="B1114" s="267"/>
      <c r="C1114" s="268"/>
      <c r="D1114" s="40" t="s">
        <v>58</v>
      </c>
      <c r="E1114" s="64">
        <v>0.815</v>
      </c>
      <c r="G1114" s="212" t="str">
        <f>CONCATENATE(D1114," - ",E1114,", ")</f>
        <v>Nuts &amp; Bolts scrap - 0.815, </v>
      </c>
      <c r="H1114" s="1"/>
    </row>
    <row r="1115" spans="1:8" ht="15" customHeight="1">
      <c r="A1115" s="35"/>
      <c r="B1115" s="1"/>
      <c r="C1115" s="1"/>
      <c r="D1115" s="1"/>
      <c r="E1115" s="1"/>
      <c r="H1115" s="1"/>
    </row>
    <row r="1116" spans="1:15" ht="15" customHeight="1">
      <c r="A1116" s="271"/>
      <c r="B1116" s="272"/>
      <c r="C1116" s="66"/>
      <c r="D1116" s="66"/>
      <c r="E1116" s="119">
        <f>SUM(E1118:E1119)</f>
        <v>0.346</v>
      </c>
      <c r="F1116" s="98"/>
      <c r="G1116" s="98"/>
      <c r="H1116" s="98"/>
      <c r="I1116" s="98"/>
      <c r="J1116" s="98"/>
      <c r="K1116" s="98"/>
      <c r="L1116" s="98"/>
      <c r="M1116" s="98"/>
      <c r="N1116" s="98"/>
      <c r="O1116" s="98"/>
    </row>
    <row r="1117" spans="1:18" ht="15" customHeight="1">
      <c r="A1117" s="267" t="s">
        <v>5</v>
      </c>
      <c r="B1117" s="267"/>
      <c r="C1117" s="64" t="s">
        <v>17</v>
      </c>
      <c r="D1117" s="65" t="s">
        <v>18</v>
      </c>
      <c r="E1117" s="68" t="s">
        <v>7</v>
      </c>
      <c r="F1117" s="98"/>
      <c r="G1117" s="175" t="str">
        <f>CONCATENATE("Misc. Healthy parts/ Non Ferrous  Scrap, Lying at ",C1118,". Quantity in MT - ")</f>
        <v>Misc. Healthy parts/ Non Ferrous  Scrap, Lying at CS Ferozepur. Quantity in MT - </v>
      </c>
      <c r="H1117" s="285" t="str">
        <f ca="1">CONCATENATE(G1117,G1118,(INDIRECT(I1118)),(INDIRECT(J1118)),(INDIRECT(K1118)),(INDIRECT(L1118)),(INDIRECT(M1118)),(INDIRECT(N1118)),(INDIRECT(O1118)),(INDIRECT(P1118)),(INDIRECT(Q1118)),(INDIRECT(R1118)),".")</f>
        <v>Misc. Healthy parts/ Non Ferrous  Scrap, Lying at CS Ferozepur. Quantity in MT - Misc. copper scrap - 0.174, All Alumn. Conductor Scrap - 0.172, .</v>
      </c>
      <c r="I1117" s="98" t="str">
        <f aca="true" ca="1" t="array" ref="I1117">CELL("address",INDEX(G1117:G1139,MATCH(TRUE,ISBLANK(G1117:G1139),0)))</f>
        <v>$G$1120</v>
      </c>
      <c r="J1117" s="98">
        <f aca="true" t="array" ref="J1117">MATCH(TRUE,ISBLANK(G1117:G1139),0)</f>
        <v>4</v>
      </c>
      <c r="K1117" s="98">
        <f>J1117-3</f>
        <v>1</v>
      </c>
      <c r="L1117" s="98"/>
      <c r="M1117" s="98"/>
      <c r="N1117" s="98"/>
      <c r="O1117" s="98"/>
      <c r="P1117" s="98"/>
      <c r="Q1117" s="98"/>
      <c r="R1117" s="98"/>
    </row>
    <row r="1118" spans="1:18" ht="15" customHeight="1">
      <c r="A1118" s="267" t="s">
        <v>250</v>
      </c>
      <c r="B1118" s="267"/>
      <c r="C1118" s="268" t="s">
        <v>99</v>
      </c>
      <c r="D1118" s="60" t="s">
        <v>111</v>
      </c>
      <c r="E1118" s="69">
        <v>0.174</v>
      </c>
      <c r="G1118" s="102" t="str">
        <f>CONCATENATE(D1118," - ",E1118,", ")</f>
        <v>Misc. copper scrap - 0.174, </v>
      </c>
      <c r="H1118" s="285"/>
      <c r="I1118" s="98" t="str">
        <f ca="1">IF(J1117&gt;=3,(MID(I1117,2,1)&amp;MID(I1117,4,4)-K1117),CELL("address",Z1118))</f>
        <v>G1119</v>
      </c>
      <c r="J1118" s="98" t="str">
        <f ca="1">IF(J1117&gt;=4,(MID(I1118,1,1)&amp;MID(I1118,2,4)+1),CELL("address",AA1118))</f>
        <v>G1120</v>
      </c>
      <c r="K1118" s="98" t="str">
        <f ca="1">IF(J1117&gt;=5,(MID(J1118,1,1)&amp;MID(J1118,2,4)+1),CELL("address",AB1118))</f>
        <v>$AB$1118</v>
      </c>
      <c r="L1118" s="98" t="str">
        <f ca="1">IF(J1117&gt;=6,(MID(K1118,1,1)&amp;MID(K1118,2,4)+1),CELL("address",AC1118))</f>
        <v>$AC$1118</v>
      </c>
      <c r="M1118" s="98" t="str">
        <f ca="1">IF(J1117&gt;=7,(MID(L1118,1,1)&amp;MID(L1118,2,4)+1),CELL("address",AD1118))</f>
        <v>$AD$1118</v>
      </c>
      <c r="N1118" s="98" t="str">
        <f ca="1">IF(J1117&gt;=8,(MID(M1118,1,1)&amp;MID(M1118,2,4)+1),CELL("address",AE1118))</f>
        <v>$AE$1118</v>
      </c>
      <c r="O1118" s="98" t="str">
        <f ca="1">IF(J1117&gt;=9,(MID(N1118,1,1)&amp;MID(N1118,2,4)+1),CELL("address",AF1118))</f>
        <v>$AF$1118</v>
      </c>
      <c r="P1118" s="98" t="str">
        <f ca="1">IF(J1117&gt;=10,(MID(O1118,1,1)&amp;MID(O1118,2,4)+1),CELL("address",AG1118))</f>
        <v>$AG$1118</v>
      </c>
      <c r="Q1118" s="98" t="str">
        <f ca="1">IF(J1117&gt;=11,(MID(P1118,1,1)&amp;MID(P1118,2,4)+1),CELL("address",AH1118))</f>
        <v>$AH$1118</v>
      </c>
      <c r="R1118" s="98" t="str">
        <f ca="1">IF(J1117&gt;=12,(MID(Q1118,1,1)&amp;MID(Q1118,2,4)+1),CELL("address",AI1118))</f>
        <v>$AI$1118</v>
      </c>
    </row>
    <row r="1119" spans="1:8" ht="15" customHeight="1">
      <c r="A1119" s="267"/>
      <c r="B1119" s="267"/>
      <c r="C1119" s="268"/>
      <c r="D1119" s="45" t="s">
        <v>32</v>
      </c>
      <c r="E1119" s="46">
        <v>0.172</v>
      </c>
      <c r="G1119" s="102" t="str">
        <f>CONCATENATE(D1119," - ",E1119,", ")</f>
        <v>All Alumn. Conductor Scrap - 0.172, </v>
      </c>
      <c r="H1119" s="1"/>
    </row>
    <row r="1120" spans="1:8" ht="15" customHeight="1">
      <c r="A1120" s="35"/>
      <c r="B1120" s="1"/>
      <c r="C1120" s="1"/>
      <c r="D1120" s="1"/>
      <c r="E1120" s="1"/>
      <c r="H1120" s="1"/>
    </row>
    <row r="1121" spans="1:8" ht="15" customHeight="1">
      <c r="A1121" s="271"/>
      <c r="B1121" s="272"/>
      <c r="C1121" s="66"/>
      <c r="D1121" s="66"/>
      <c r="E1121" s="119">
        <f>SUM(E1123:E1126)</f>
        <v>0.23000000000000004</v>
      </c>
      <c r="H1121" s="1"/>
    </row>
    <row r="1122" spans="1:18" ht="15" customHeight="1">
      <c r="A1122" s="267" t="s">
        <v>5</v>
      </c>
      <c r="B1122" s="267"/>
      <c r="C1122" s="64" t="s">
        <v>17</v>
      </c>
      <c r="D1122" s="65" t="s">
        <v>18</v>
      </c>
      <c r="E1122" s="68" t="s">
        <v>7</v>
      </c>
      <c r="G1122" s="175" t="str">
        <f>CONCATENATE("Misc. Healthy parts/ Non Ferrous  Scrap, Lying at ",C1123,". Quantity in MT - ")</f>
        <v>Misc. Healthy parts/ Non Ferrous  Scrap, Lying at TRY Barnala. Quantity in MT - </v>
      </c>
      <c r="H1122" s="285" t="str">
        <f ca="1">CONCATENATE(G1122,G1123,(INDIRECT(I1123)),(INDIRECT(J1123)),(INDIRECT(K1123)),(INDIRECT(L1123)),(INDIRECT(M1123)),(INDIRECT(N1123)),(INDIRECT(O1123)),(INDIRECT(P1123)),(INDIRECT(Q1123)),(INDIRECT(R1123)),".")</f>
        <v>Misc. Healthy parts/ Non Ferrous  Scrap, Lying at TRY Barnala. Quantity in MT - Brass scrap - 0.2, Misc. Alumn. Scrap - 0.011, Iron scrap - 0.011, Burnt Cu scrap - 0.008, .</v>
      </c>
      <c r="I1122" s="98" t="str">
        <f aca="true" ca="1" t="array" ref="I1122">CELL("address",INDEX(G1122:G1144,MATCH(TRUE,ISBLANK(G1122:G1144),0)))</f>
        <v>$G$1127</v>
      </c>
      <c r="J1122" s="98">
        <f aca="true" t="array" ref="J1122">MATCH(TRUE,ISBLANK(G1122:G1144),0)</f>
        <v>6</v>
      </c>
      <c r="K1122" s="98">
        <f>J1122-3</f>
        <v>3</v>
      </c>
      <c r="L1122" s="98"/>
      <c r="M1122" s="98"/>
      <c r="N1122" s="98"/>
      <c r="O1122" s="98"/>
      <c r="P1122" s="98"/>
      <c r="Q1122" s="98"/>
      <c r="R1122" s="98"/>
    </row>
    <row r="1123" spans="1:18" ht="13.5" customHeight="1">
      <c r="A1123" s="267" t="s">
        <v>266</v>
      </c>
      <c r="B1123" s="267"/>
      <c r="C1123" s="268" t="s">
        <v>330</v>
      </c>
      <c r="D1123" s="45" t="s">
        <v>23</v>
      </c>
      <c r="E1123" s="120">
        <v>0.2</v>
      </c>
      <c r="F1123" s="98"/>
      <c r="G1123" s="102" t="str">
        <f>CONCATENATE(D1123," - ",E1123,", ")</f>
        <v>Brass scrap - 0.2, </v>
      </c>
      <c r="H1123" s="285"/>
      <c r="I1123" s="98" t="str">
        <f ca="1">IF(J1122&gt;=3,(MID(I1122,2,1)&amp;MID(I1122,4,4)-K1122),CELL("address",Z1123))</f>
        <v>G1124</v>
      </c>
      <c r="J1123" s="98" t="str">
        <f ca="1">IF(J1122&gt;=4,(MID(I1123,1,1)&amp;MID(I1123,2,4)+1),CELL("address",AA1123))</f>
        <v>G1125</v>
      </c>
      <c r="K1123" s="98" t="str">
        <f ca="1">IF(J1122&gt;=5,(MID(J1123,1,1)&amp;MID(J1123,2,4)+1),CELL("address",AB1123))</f>
        <v>G1126</v>
      </c>
      <c r="L1123" s="98" t="str">
        <f ca="1">IF(J1122&gt;=6,(MID(K1123,1,1)&amp;MID(K1123,2,4)+1),CELL("address",AC1123))</f>
        <v>G1127</v>
      </c>
      <c r="M1123" s="98" t="str">
        <f ca="1">IF(J1122&gt;=7,(MID(L1123,1,1)&amp;MID(L1123,2,4)+1),CELL("address",AD1123))</f>
        <v>$AD$1123</v>
      </c>
      <c r="N1123" s="98" t="str">
        <f ca="1">IF(J1122&gt;=8,(MID(M1123,1,1)&amp;MID(M1123,2,4)+1),CELL("address",AE1123))</f>
        <v>$AE$1123</v>
      </c>
      <c r="O1123" s="98" t="str">
        <f ca="1">IF(J1122&gt;=9,(MID(N1123,1,1)&amp;MID(N1123,2,4)+1),CELL("address",AF1123))</f>
        <v>$AF$1123</v>
      </c>
      <c r="P1123" s="98" t="str">
        <f ca="1">IF(J1122&gt;=10,(MID(O1123,1,1)&amp;MID(O1123,2,4)+1),CELL("address",AG1123))</f>
        <v>$AG$1123</v>
      </c>
      <c r="Q1123" s="98" t="str">
        <f ca="1">IF(J1122&gt;=11,(MID(P1123,1,1)&amp;MID(P1123,2,4)+1),CELL("address",AH1123))</f>
        <v>$AH$1123</v>
      </c>
      <c r="R1123" s="98" t="str">
        <f ca="1">IF(J1122&gt;=12,(MID(Q1123,1,1)&amp;MID(Q1123,2,4)+1),CELL("address",AI1123))</f>
        <v>$AI$1123</v>
      </c>
    </row>
    <row r="1124" spans="1:15" ht="15" customHeight="1">
      <c r="A1124" s="267"/>
      <c r="B1124" s="267"/>
      <c r="C1124" s="268"/>
      <c r="D1124" s="45" t="s">
        <v>31</v>
      </c>
      <c r="E1124" s="68">
        <v>0.011</v>
      </c>
      <c r="F1124" s="98"/>
      <c r="G1124" s="102" t="str">
        <f>CONCATENATE(D1124," - ",E1124,", ")</f>
        <v>Misc. Alumn. Scrap - 0.011, </v>
      </c>
      <c r="H1124" s="98"/>
      <c r="I1124" s="98" t="e">
        <f ca="1">IF(G1123&gt;=6,(MID(H1124,1,1)&amp;MID(H1124,2,4)+1),CELL("address",Z1124))</f>
        <v>#VALUE!</v>
      </c>
      <c r="J1124" s="98" t="e">
        <f ca="1">IF(G1123&gt;=7,(MID(I1124,1,1)&amp;MID(I1124,2,4)+1),CELL("address",AA1124))</f>
        <v>#VALUE!</v>
      </c>
      <c r="K1124" s="98" t="e">
        <f ca="1">IF(G1123&gt;=8,(MID(J1124,1,1)&amp;MID(J1124,2,4)+1),CELL("address",AB1124))</f>
        <v>#VALUE!</v>
      </c>
      <c r="L1124" s="98" t="e">
        <f ca="1">IF(G1123&gt;=9,(MID(K1124,1,1)&amp;MID(K1124,2,4)+1),CELL("address",AC1124))</f>
        <v>#VALUE!</v>
      </c>
      <c r="M1124" s="98" t="e">
        <f ca="1">IF(G1123&gt;=10,(MID(L1124,1,1)&amp;MID(L1124,2,4)+1),CELL("address",AD1124))</f>
        <v>#VALUE!</v>
      </c>
      <c r="N1124" s="98" t="e">
        <f ca="1">IF(G1123&gt;=11,(MID(M1124,1,1)&amp;MID(M1124,2,4)+1),CELL("address",AE1124))</f>
        <v>#VALUE!</v>
      </c>
      <c r="O1124" s="98" t="e">
        <f ca="1">IF(G1123&gt;=12,(MID(N1124,1,1)&amp;MID(N1124,2,4)+1),CELL("address",AF1124))</f>
        <v>#VALUE!</v>
      </c>
    </row>
    <row r="1125" spans="1:8" ht="15" customHeight="1">
      <c r="A1125" s="267"/>
      <c r="B1125" s="267"/>
      <c r="C1125" s="268"/>
      <c r="D1125" s="40" t="s">
        <v>27</v>
      </c>
      <c r="E1125" s="68">
        <v>0.011</v>
      </c>
      <c r="G1125" s="102" t="str">
        <f>CONCATENATE(D1125," - ",E1125,", ")</f>
        <v>Iron scrap - 0.011, </v>
      </c>
      <c r="H1125" s="1"/>
    </row>
    <row r="1126" spans="1:8" ht="15" customHeight="1">
      <c r="A1126" s="267"/>
      <c r="B1126" s="267"/>
      <c r="C1126" s="268"/>
      <c r="D1126" s="40" t="s">
        <v>37</v>
      </c>
      <c r="E1126" s="138">
        <v>0.008</v>
      </c>
      <c r="G1126" s="102" t="str">
        <f>CONCATENATE(D1126," - ",E1126,", ")</f>
        <v>Burnt Cu scrap - 0.008, </v>
      </c>
      <c r="H1126" s="1"/>
    </row>
    <row r="1127" spans="1:8" ht="15" customHeight="1">
      <c r="A1127" s="35"/>
      <c r="B1127" s="1"/>
      <c r="C1127" s="1"/>
      <c r="D1127" s="1"/>
      <c r="E1127" s="1"/>
      <c r="H1127" s="1"/>
    </row>
    <row r="1128" spans="1:8" ht="15" customHeight="1">
      <c r="A1128" s="271"/>
      <c r="B1128" s="272"/>
      <c r="C1128" s="66"/>
      <c r="D1128" s="66"/>
      <c r="E1128" s="119">
        <f>SUM(E1130:E1134)</f>
        <v>2.958</v>
      </c>
      <c r="H1128" s="1"/>
    </row>
    <row r="1129" spans="1:18" ht="15" customHeight="1">
      <c r="A1129" s="267" t="s">
        <v>5</v>
      </c>
      <c r="B1129" s="267"/>
      <c r="C1129" s="64" t="s">
        <v>17</v>
      </c>
      <c r="D1129" s="65" t="s">
        <v>18</v>
      </c>
      <c r="E1129" s="68" t="s">
        <v>7</v>
      </c>
      <c r="G1129" s="175" t="str">
        <f>CONCATENATE("Misc. Healthy parts/ Non Ferrous  Scrap, Lying at ",C1130,". Quantity in MT - ")</f>
        <v>Misc. Healthy parts/ Non Ferrous  Scrap, Lying at TRY Sangrur. Quantity in MT - </v>
      </c>
      <c r="H1129" s="285" t="str">
        <f ca="1">CONCATENATE(G1129,G1130,(INDIRECT(I1130)),(INDIRECT(J1130)),(INDIRECT(K1130)),(INDIRECT(L1130)),(INDIRECT(M1130)),(INDIRECT(N1130)),(INDIRECT(O1130)),(INDIRECT(P1130)),(INDIRECT(Q1130)),(INDIRECT(R1130)),".")</f>
        <v>Misc. Healthy parts/ Non Ferrous  Scrap, Lying at TRY Sangrur. Quantity in MT - Brass scrap - 1.56, Misc. Alumn. Scrap - 0.125, Burnt Cu scrap - 0.043, Iron scrap - 0.177, Nuts &amp; Bolts scrap - 1.053, .</v>
      </c>
      <c r="I1129" s="98" t="str">
        <f aca="true" ca="1" t="array" ref="I1129">CELL("address",INDEX(G1129:G1153,MATCH(TRUE,ISBLANK(G1129:G1153),0)))</f>
        <v>$G$1135</v>
      </c>
      <c r="J1129" s="98">
        <f aca="true" t="array" ref="J1129">MATCH(TRUE,ISBLANK(G1129:G1153),0)</f>
        <v>7</v>
      </c>
      <c r="K1129" s="98">
        <f>J1129-3</f>
        <v>4</v>
      </c>
      <c r="L1129" s="98"/>
      <c r="M1129" s="98"/>
      <c r="N1129" s="98"/>
      <c r="O1129" s="98"/>
      <c r="P1129" s="98"/>
      <c r="Q1129" s="98"/>
      <c r="R1129" s="98"/>
    </row>
    <row r="1130" spans="1:18" ht="15" customHeight="1">
      <c r="A1130" s="267" t="s">
        <v>271</v>
      </c>
      <c r="B1130" s="267"/>
      <c r="C1130" s="268" t="s">
        <v>135</v>
      </c>
      <c r="D1130" s="45" t="s">
        <v>23</v>
      </c>
      <c r="E1130" s="158">
        <v>1.56</v>
      </c>
      <c r="G1130" s="102" t="str">
        <f>CONCATENATE(D1130," - ",E1130,", ")</f>
        <v>Brass scrap - 1.56, </v>
      </c>
      <c r="H1130" s="285"/>
      <c r="I1130" s="98" t="str">
        <f ca="1">IF(J1129&gt;=3,(MID(I1129,2,1)&amp;MID(I1129,4,4)-K1129),CELL("address",Z1130))</f>
        <v>G1131</v>
      </c>
      <c r="J1130" s="98" t="str">
        <f ca="1">IF(J1129&gt;=4,(MID(I1130,1,1)&amp;MID(I1130,2,4)+1),CELL("address",AA1130))</f>
        <v>G1132</v>
      </c>
      <c r="K1130" s="98" t="str">
        <f ca="1">IF(J1129&gt;=5,(MID(J1130,1,1)&amp;MID(J1130,2,4)+1),CELL("address",AB1130))</f>
        <v>G1133</v>
      </c>
      <c r="L1130" s="98" t="str">
        <f ca="1">IF(J1129&gt;=6,(MID(K1130,1,1)&amp;MID(K1130,2,4)+1),CELL("address",AC1130))</f>
        <v>G1134</v>
      </c>
      <c r="M1130" s="98" t="str">
        <f ca="1">IF(J1129&gt;=7,(MID(L1130,1,1)&amp;MID(L1130,2,4)+1),CELL("address",AD1130))</f>
        <v>G1135</v>
      </c>
      <c r="N1130" s="98" t="str">
        <f ca="1">IF(J1129&gt;=8,(MID(M1130,1,1)&amp;MID(M1130,2,4)+1),CELL("address",AE1130))</f>
        <v>$AE$1130</v>
      </c>
      <c r="O1130" s="98" t="str">
        <f ca="1">IF(J1129&gt;=9,(MID(N1130,1,1)&amp;MID(N1130,2,4)+1),CELL("address",AF1130))</f>
        <v>$AF$1130</v>
      </c>
      <c r="P1130" s="98" t="str">
        <f ca="1">IF(J1129&gt;=10,(MID(O1130,1,1)&amp;MID(O1130,2,4)+1),CELL("address",AG1130))</f>
        <v>$AG$1130</v>
      </c>
      <c r="Q1130" s="98" t="str">
        <f ca="1">IF(J1129&gt;=11,(MID(P1130,1,1)&amp;MID(P1130,2,4)+1),CELL("address",AH1130))</f>
        <v>$AH$1130</v>
      </c>
      <c r="R1130" s="98" t="str">
        <f ca="1">IF(J1129&gt;=12,(MID(Q1130,1,1)&amp;MID(Q1130,2,4)+1),CELL("address",AI1130))</f>
        <v>$AI$1130</v>
      </c>
    </row>
    <row r="1131" spans="1:15" ht="15" customHeight="1">
      <c r="A1131" s="267"/>
      <c r="B1131" s="267"/>
      <c r="C1131" s="268"/>
      <c r="D1131" s="45" t="s">
        <v>31</v>
      </c>
      <c r="E1131" s="138">
        <v>0.125</v>
      </c>
      <c r="F1131" s="98"/>
      <c r="G1131" s="102" t="str">
        <f>CONCATENATE(D1131," - ",E1131,", ")</f>
        <v>Misc. Alumn. Scrap - 0.125, </v>
      </c>
      <c r="H1131" s="98"/>
      <c r="I1131" s="98"/>
      <c r="J1131" s="98"/>
      <c r="K1131" s="98"/>
      <c r="L1131" s="98"/>
      <c r="M1131" s="98"/>
      <c r="N1131" s="98"/>
      <c r="O1131" s="98"/>
    </row>
    <row r="1132" spans="1:15" ht="15" customHeight="1">
      <c r="A1132" s="267"/>
      <c r="B1132" s="267"/>
      <c r="C1132" s="268"/>
      <c r="D1132" s="40" t="s">
        <v>37</v>
      </c>
      <c r="E1132" s="138">
        <v>0.043</v>
      </c>
      <c r="F1132" s="98"/>
      <c r="G1132" s="102" t="str">
        <f>CONCATENATE(D1132," - ",E1132,", ")</f>
        <v>Burnt Cu scrap - 0.043, </v>
      </c>
      <c r="H1132" s="98"/>
      <c r="I1132" s="98" t="e">
        <f ca="1">IF(G1131&gt;=6,(MID(H1132,1,1)&amp;MID(H1132,2,4)+1),CELL("address",Z1132))</f>
        <v>#VALUE!</v>
      </c>
      <c r="J1132" s="98" t="e">
        <f ca="1">IF(G1131&gt;=7,(MID(I1132,1,1)&amp;MID(I1132,2,4)+1),CELL("address",AA1132))</f>
        <v>#VALUE!</v>
      </c>
      <c r="K1132" s="98" t="e">
        <f ca="1">IF(G1131&gt;=8,(MID(J1132,1,1)&amp;MID(J1132,2,4)+1),CELL("address",AB1132))</f>
        <v>#VALUE!</v>
      </c>
      <c r="L1132" s="98" t="e">
        <f ca="1">IF(G1131&gt;=9,(MID(K1132,1,1)&amp;MID(K1132,2,4)+1),CELL("address",AC1132))</f>
        <v>#VALUE!</v>
      </c>
      <c r="M1132" s="98" t="e">
        <f ca="1">IF(G1131&gt;=10,(MID(L1132,1,1)&amp;MID(L1132,2,4)+1),CELL("address",AD1132))</f>
        <v>#VALUE!</v>
      </c>
      <c r="N1132" s="98" t="e">
        <f ca="1">IF(G1131&gt;=11,(MID(M1132,1,1)&amp;MID(M1132,2,4)+1),CELL("address",AE1132))</f>
        <v>#VALUE!</v>
      </c>
      <c r="O1132" s="98" t="e">
        <f ca="1">IF(G1131&gt;=12,(MID(N1132,1,1)&amp;MID(N1132,2,4)+1),CELL("address",AF1132))</f>
        <v>#VALUE!</v>
      </c>
    </row>
    <row r="1133" spans="1:8" ht="15" customHeight="1">
      <c r="A1133" s="267"/>
      <c r="B1133" s="267"/>
      <c r="C1133" s="268"/>
      <c r="D1133" s="40" t="s">
        <v>27</v>
      </c>
      <c r="E1133" s="138">
        <v>0.177</v>
      </c>
      <c r="G1133" s="102" t="str">
        <f>CONCATENATE(D1133," - ",E1133,", ")</f>
        <v>Iron scrap - 0.177, </v>
      </c>
      <c r="H1133" s="1"/>
    </row>
    <row r="1134" spans="1:8" ht="15" customHeight="1">
      <c r="A1134" s="267"/>
      <c r="B1134" s="267"/>
      <c r="C1134" s="268"/>
      <c r="D1134" s="40" t="s">
        <v>58</v>
      </c>
      <c r="E1134" s="138">
        <v>1.053</v>
      </c>
      <c r="G1134" s="102" t="str">
        <f>CONCATENATE(D1134," - ",E1134,", ")</f>
        <v>Nuts &amp; Bolts scrap - 1.053, </v>
      </c>
      <c r="H1134" s="1"/>
    </row>
    <row r="1135" spans="1:8" ht="15" customHeight="1">
      <c r="A1135" s="1"/>
      <c r="B1135" s="1"/>
      <c r="C1135" s="1"/>
      <c r="D1135" s="1"/>
      <c r="E1135" s="1"/>
      <c r="H1135" s="1"/>
    </row>
    <row r="1136" spans="1:8" ht="14.25" customHeight="1">
      <c r="A1136" s="271"/>
      <c r="B1136" s="272"/>
      <c r="C1136" s="66"/>
      <c r="D1136" s="66"/>
      <c r="E1136" s="119">
        <f>SUM(E1138:E1139)</f>
        <v>0.649</v>
      </c>
      <c r="H1136" s="1"/>
    </row>
    <row r="1137" spans="1:18" ht="18.75" customHeight="1">
      <c r="A1137" s="267" t="s">
        <v>5</v>
      </c>
      <c r="B1137" s="267"/>
      <c r="C1137" s="64" t="s">
        <v>17</v>
      </c>
      <c r="D1137" s="65" t="s">
        <v>18</v>
      </c>
      <c r="E1137" s="68" t="s">
        <v>7</v>
      </c>
      <c r="G1137" s="175" t="str">
        <f>CONCATENATE("Misc. Healthy parts/ Non Ferrous  Scrap, Lying at ",C1138,". Quantity in MT - ")</f>
        <v>Misc. Healthy parts/ Non Ferrous  Scrap, Lying at TRY Patiala. Quantity in MT - </v>
      </c>
      <c r="H1137" s="285" t="str">
        <f ca="1">CONCATENATE(G1137,G1138,(INDIRECT(I1138)),(INDIRECT(J1138)),(INDIRECT(K1138)),(INDIRECT(L1138)),(INDIRECT(M1138)),(INDIRECT(N1138)),(INDIRECT(O1138)),(INDIRECT(P1138)),(INDIRECT(Q1138)),(INDIRECT(R1138)),".")</f>
        <v>Misc. Healthy parts/ Non Ferrous  Scrap, Lying at TRY Patiala. Quantity in MT - Brass scrap - 0.61, Misc. Alumn. Scrap - 0.039, .</v>
      </c>
      <c r="I1137" s="98" t="str">
        <f aca="true" ca="1" t="array" ref="I1137">CELL("address",INDEX(G1137:G1160,MATCH(TRUE,ISBLANK(G1137:G1160),0)))</f>
        <v>$G$1140</v>
      </c>
      <c r="J1137" s="98">
        <f aca="true" t="array" ref="J1137">MATCH(TRUE,ISBLANK(G1137:G1160),0)</f>
        <v>4</v>
      </c>
      <c r="K1137" s="98">
        <f>J1137-3</f>
        <v>1</v>
      </c>
      <c r="L1137" s="98"/>
      <c r="M1137" s="98"/>
      <c r="N1137" s="98"/>
      <c r="O1137" s="98"/>
      <c r="P1137" s="98"/>
      <c r="Q1137" s="98"/>
      <c r="R1137" s="98"/>
    </row>
    <row r="1138" spans="1:18" ht="18.75" customHeight="1">
      <c r="A1138" s="267" t="s">
        <v>461</v>
      </c>
      <c r="B1138" s="267"/>
      <c r="C1138" s="268" t="s">
        <v>120</v>
      </c>
      <c r="D1138" s="45" t="s">
        <v>23</v>
      </c>
      <c r="E1138" s="120">
        <v>0.61</v>
      </c>
      <c r="G1138" s="102" t="str">
        <f>CONCATENATE(D1138," - ",E1138,", ")</f>
        <v>Brass scrap - 0.61, </v>
      </c>
      <c r="H1138" s="285"/>
      <c r="I1138" s="98" t="str">
        <f ca="1">IF(J1137&gt;=3,(MID(I1137,2,1)&amp;MID(I1137,4,4)-K1137),CELL("address",Z1138))</f>
        <v>G1139</v>
      </c>
      <c r="J1138" s="98" t="str">
        <f ca="1">IF(J1137&gt;=4,(MID(I1138,1,1)&amp;MID(I1138,2,4)+1),CELL("address",AA1138))</f>
        <v>G1140</v>
      </c>
      <c r="K1138" s="98" t="str">
        <f ca="1">IF(J1137&gt;=5,(MID(J1138,1,1)&amp;MID(J1138,2,4)+1),CELL("address",AB1138))</f>
        <v>$AB$1138</v>
      </c>
      <c r="L1138" s="98" t="str">
        <f ca="1">IF(J1137&gt;=6,(MID(K1138,1,1)&amp;MID(K1138,2,4)+1),CELL("address",AC1138))</f>
        <v>$AC$1138</v>
      </c>
      <c r="M1138" s="98" t="str">
        <f ca="1">IF(J1137&gt;=7,(MID(L1138,1,1)&amp;MID(L1138,2,4)+1),CELL("address",AD1138))</f>
        <v>$AD$1138</v>
      </c>
      <c r="N1138" s="98" t="str">
        <f ca="1">IF(J1137&gt;=8,(MID(M1138,1,1)&amp;MID(M1138,2,4)+1),CELL("address",AE1138))</f>
        <v>$AE$1138</v>
      </c>
      <c r="O1138" s="98" t="str">
        <f ca="1">IF(J1137&gt;=9,(MID(N1138,1,1)&amp;MID(N1138,2,4)+1),CELL("address",AF1138))</f>
        <v>$AF$1138</v>
      </c>
      <c r="P1138" s="98" t="str">
        <f ca="1">IF(J1137&gt;=10,(MID(O1138,1,1)&amp;MID(O1138,2,4)+1),CELL("address",AG1138))</f>
        <v>$AG$1138</v>
      </c>
      <c r="Q1138" s="98" t="str">
        <f ca="1">IF(J1137&gt;=11,(MID(P1138,1,1)&amp;MID(P1138,2,4)+1),CELL("address",AH1138))</f>
        <v>$AH$1138</v>
      </c>
      <c r="R1138" s="98" t="str">
        <f ca="1">IF(J1137&gt;=12,(MID(Q1138,1,1)&amp;MID(Q1138,2,4)+1),CELL("address",AI1138))</f>
        <v>$AI$1138</v>
      </c>
    </row>
    <row r="1139" spans="1:8" ht="15.75" customHeight="1">
      <c r="A1139" s="267"/>
      <c r="B1139" s="267"/>
      <c r="C1139" s="268"/>
      <c r="D1139" s="45" t="s">
        <v>31</v>
      </c>
      <c r="E1139" s="68">
        <v>0.039</v>
      </c>
      <c r="G1139" s="102" t="str">
        <f>CONCATENATE(D1139," - ",E1139,", ")</f>
        <v>Misc. Alumn. Scrap - 0.039, </v>
      </c>
      <c r="H1139" s="1"/>
    </row>
    <row r="1140" spans="1:8" ht="14.25" customHeight="1">
      <c r="A1140" s="1"/>
      <c r="B1140" s="1"/>
      <c r="C1140" s="1"/>
      <c r="D1140" s="1"/>
      <c r="E1140" s="1"/>
      <c r="H1140" s="1"/>
    </row>
    <row r="1141" spans="1:8" ht="11.25" customHeight="1">
      <c r="A1141" s="271"/>
      <c r="B1141" s="272"/>
      <c r="C1141" s="66"/>
      <c r="D1141" s="66"/>
      <c r="E1141" s="67">
        <f>SUM(E1143:E1144)</f>
        <v>0.29000000000000004</v>
      </c>
      <c r="H1141" s="1"/>
    </row>
    <row r="1142" spans="1:18" ht="15" customHeight="1">
      <c r="A1142" s="267" t="s">
        <v>5</v>
      </c>
      <c r="B1142" s="267"/>
      <c r="C1142" s="64" t="s">
        <v>17</v>
      </c>
      <c r="D1142" s="65" t="s">
        <v>18</v>
      </c>
      <c r="E1142" s="64" t="s">
        <v>7</v>
      </c>
      <c r="G1142" s="175" t="str">
        <f>CONCATENATE("Misc. Healthy parts/ Non Ferrous  Scrap, Lying at ",C1143,". Quantity in MT - ")</f>
        <v>Misc. Healthy parts/ Non Ferrous  Scrap, Lying at TRY Ropar. Quantity in MT - </v>
      </c>
      <c r="H1142" s="285" t="str">
        <f ca="1">CONCATENATE(G1142,G1143,(INDIRECT(I1143)),(INDIRECT(J1143)),(INDIRECT(K1143)),(INDIRECT(L1143)),(INDIRECT(M1143)),(INDIRECT(N1143)),(INDIRECT(O1143)),(INDIRECT(P1143)),(INDIRECT(Q1143)),(INDIRECT(R1143)),".")</f>
        <v>Misc. Healthy parts/ Non Ferrous  Scrap, Lying at TRY Ropar. Quantity in MT - Misc. Alumn. Scrap - 0.154, Burnt Cu scrap - 0.136, .</v>
      </c>
      <c r="I1142" s="98" t="str">
        <f aca="true" ca="1" t="array" ref="I1142">CELL("address",INDEX(G1142:G1163,MATCH(TRUE,ISBLANK(G1142:G1163),0)))</f>
        <v>$G$1145</v>
      </c>
      <c r="J1142" s="98">
        <f aca="true" t="array" ref="J1142">MATCH(TRUE,ISBLANK(G1142:G1163),0)</f>
        <v>4</v>
      </c>
      <c r="K1142" s="98">
        <f>J1142-3</f>
        <v>1</v>
      </c>
      <c r="L1142" s="98"/>
      <c r="M1142" s="98"/>
      <c r="N1142" s="98"/>
      <c r="O1142" s="98"/>
      <c r="P1142" s="98"/>
      <c r="Q1142" s="98"/>
      <c r="R1142" s="98"/>
    </row>
    <row r="1143" spans="1:18" ht="15" customHeight="1">
      <c r="A1143" s="267" t="s">
        <v>568</v>
      </c>
      <c r="B1143" s="267"/>
      <c r="C1143" s="268" t="s">
        <v>143</v>
      </c>
      <c r="D1143" s="45" t="s">
        <v>31</v>
      </c>
      <c r="E1143" s="45">
        <v>0.154</v>
      </c>
      <c r="G1143" s="102" t="str">
        <f>CONCATENATE(D1143," - ",E1143,", ")</f>
        <v>Misc. Alumn. Scrap - 0.154, </v>
      </c>
      <c r="H1143" s="285"/>
      <c r="I1143" s="98" t="str">
        <f ca="1">IF(J1142&gt;=3,(MID(I1142,2,1)&amp;MID(I1142,4,4)-K1142),CELL("address",Z1143))</f>
        <v>G1144</v>
      </c>
      <c r="J1143" s="98" t="str">
        <f ca="1">IF(J1142&gt;=4,(MID(I1143,1,1)&amp;MID(I1143,2,4)+1),CELL("address",AA1143))</f>
        <v>G1145</v>
      </c>
      <c r="K1143" s="98" t="str">
        <f ca="1">IF(J1142&gt;=5,(MID(J1143,1,1)&amp;MID(J1143,2,4)+1),CELL("address",AB1143))</f>
        <v>$AB$1143</v>
      </c>
      <c r="L1143" s="98" t="str">
        <f ca="1">IF(J1142&gt;=6,(MID(K1143,1,1)&amp;MID(K1143,2,4)+1),CELL("address",AC1143))</f>
        <v>$AC$1143</v>
      </c>
      <c r="M1143" s="98" t="str">
        <f ca="1">IF(J1142&gt;=7,(MID(L1143,1,1)&amp;MID(L1143,2,4)+1),CELL("address",AD1143))</f>
        <v>$AD$1143</v>
      </c>
      <c r="N1143" s="98" t="str">
        <f ca="1">IF(J1142&gt;=8,(MID(M1143,1,1)&amp;MID(M1143,2,4)+1),CELL("address",AE1143))</f>
        <v>$AE$1143</v>
      </c>
      <c r="O1143" s="98" t="str">
        <f ca="1">IF(J1142&gt;=9,(MID(N1143,1,1)&amp;MID(N1143,2,4)+1),CELL("address",AF1143))</f>
        <v>$AF$1143</v>
      </c>
      <c r="P1143" s="98" t="str">
        <f ca="1">IF(J1142&gt;=10,(MID(O1143,1,1)&amp;MID(O1143,2,4)+1),CELL("address",AG1143))</f>
        <v>$AG$1143</v>
      </c>
      <c r="Q1143" s="98" t="str">
        <f ca="1">IF(J1142&gt;=11,(MID(P1143,1,1)&amp;MID(P1143,2,4)+1),CELL("address",AH1143))</f>
        <v>$AH$1143</v>
      </c>
      <c r="R1143" s="98" t="str">
        <f ca="1">IF(J1142&gt;=12,(MID(Q1143,1,1)&amp;MID(Q1143,2,4)+1),CELL("address",AI1143))</f>
        <v>$AI$1143</v>
      </c>
    </row>
    <row r="1144" spans="1:8" ht="15" customHeight="1">
      <c r="A1144" s="267"/>
      <c r="B1144" s="267"/>
      <c r="C1144" s="268"/>
      <c r="D1144" s="40" t="s">
        <v>37</v>
      </c>
      <c r="E1144" s="64">
        <v>0.136</v>
      </c>
      <c r="G1144" s="102" t="str">
        <f>CONCATENATE(D1144," - ",E1144,", ")</f>
        <v>Burnt Cu scrap - 0.136, </v>
      </c>
      <c r="H1144" s="1"/>
    </row>
    <row r="1145" spans="1:8" ht="15" customHeight="1">
      <c r="A1145" s="1"/>
      <c r="B1145" s="1"/>
      <c r="C1145" s="1"/>
      <c r="D1145" s="1"/>
      <c r="E1145" s="1"/>
      <c r="H1145" s="1"/>
    </row>
    <row r="1146" spans="1:8" ht="15" customHeight="1">
      <c r="A1146" s="271"/>
      <c r="B1146" s="272"/>
      <c r="C1146" s="66"/>
      <c r="D1146" s="66"/>
      <c r="E1146" s="119">
        <f>SUM(E1148:E1149)</f>
        <v>0.09</v>
      </c>
      <c r="H1146" s="1"/>
    </row>
    <row r="1147" spans="1:18" ht="15" customHeight="1">
      <c r="A1147" s="267" t="s">
        <v>5</v>
      </c>
      <c r="B1147" s="267"/>
      <c r="C1147" s="64" t="s">
        <v>17</v>
      </c>
      <c r="D1147" s="65" t="s">
        <v>18</v>
      </c>
      <c r="E1147" s="68" t="s">
        <v>7</v>
      </c>
      <c r="G1147" s="175" t="str">
        <f>CONCATENATE("Misc. Healthy parts/ Non Ferrous  Scrap, Lying at ",C1148,". Quantity in MT - ")</f>
        <v>Misc. Healthy parts/ Non Ferrous  Scrap, Lying at TRY Kotkapura. Quantity in MT - </v>
      </c>
      <c r="H1147" s="285" t="str">
        <f ca="1">CONCATENATE(G1147,G1148,(INDIRECT(I1148)),(INDIRECT(J1148)),(INDIRECT(K1148)),(INDIRECT(L1148)),(INDIRECT(M1148)),(INDIRECT(N1148)),(INDIRECT(O1148)),(INDIRECT(P1148)),(INDIRECT(Q1148)),(INDIRECT(R1148)),".")</f>
        <v>Misc. Healthy parts/ Non Ferrous  Scrap, Lying at TRY Kotkapura. Quantity in MT - Misc. Alumn. Scrap - 0.044, Iron scrap - 0.046, .</v>
      </c>
      <c r="I1147" s="98" t="str">
        <f aca="true" ca="1" t="array" ref="I1147">CELL("address",INDEX(G1147:G1168,MATCH(TRUE,ISBLANK(G1147:G1168),0)))</f>
        <v>$G$1150</v>
      </c>
      <c r="J1147" s="98">
        <f aca="true" t="array" ref="J1147">MATCH(TRUE,ISBLANK(G1147:G1168),0)</f>
        <v>4</v>
      </c>
      <c r="K1147" s="98">
        <f>J1147-3</f>
        <v>1</v>
      </c>
      <c r="L1147" s="98"/>
      <c r="M1147" s="98"/>
      <c r="N1147" s="98"/>
      <c r="O1147" s="98"/>
      <c r="P1147" s="98"/>
      <c r="Q1147" s="98"/>
      <c r="R1147" s="98"/>
    </row>
    <row r="1148" spans="1:18" ht="15" customHeight="1">
      <c r="A1148" s="279" t="s">
        <v>653</v>
      </c>
      <c r="B1148" s="280"/>
      <c r="C1148" s="277" t="s">
        <v>248</v>
      </c>
      <c r="D1148" s="45" t="s">
        <v>31</v>
      </c>
      <c r="E1148" s="68">
        <v>0.044</v>
      </c>
      <c r="G1148" s="102" t="str">
        <f>CONCATENATE(D1148," - ",E1148,", ")</f>
        <v>Misc. Alumn. Scrap - 0.044, </v>
      </c>
      <c r="H1148" s="285"/>
      <c r="I1148" s="98" t="str">
        <f ca="1">IF(J1147&gt;=3,(MID(I1147,2,1)&amp;MID(I1147,4,4)-K1147),CELL("address",Z1148))</f>
        <v>G1149</v>
      </c>
      <c r="J1148" s="98" t="str">
        <f ca="1">IF(J1147&gt;=4,(MID(I1148,1,1)&amp;MID(I1148,2,4)+1),CELL("address",AA1148))</f>
        <v>G1150</v>
      </c>
      <c r="K1148" s="98" t="str">
        <f ca="1">IF(J1147&gt;=5,(MID(J1148,1,1)&amp;MID(J1148,2,4)+1),CELL("address",AB1148))</f>
        <v>$AB$1148</v>
      </c>
      <c r="L1148" s="98" t="str">
        <f ca="1">IF(J1147&gt;=6,(MID(K1148,1,1)&amp;MID(K1148,2,4)+1),CELL("address",AC1148))</f>
        <v>$AC$1148</v>
      </c>
      <c r="M1148" s="98" t="str">
        <f ca="1">IF(J1147&gt;=7,(MID(L1148,1,1)&amp;MID(L1148,2,4)+1),CELL("address",AD1148))</f>
        <v>$AD$1148</v>
      </c>
      <c r="N1148" s="98" t="str">
        <f ca="1">IF(J1147&gt;=8,(MID(M1148,1,1)&amp;MID(M1148,2,4)+1),CELL("address",AE1148))</f>
        <v>$AE$1148</v>
      </c>
      <c r="O1148" s="98" t="str">
        <f ca="1">IF(J1147&gt;=9,(MID(N1148,1,1)&amp;MID(N1148,2,4)+1),CELL("address",AF1148))</f>
        <v>$AF$1148</v>
      </c>
      <c r="P1148" s="98" t="str">
        <f ca="1">IF(J1147&gt;=10,(MID(O1148,1,1)&amp;MID(O1148,2,4)+1),CELL("address",AG1148))</f>
        <v>$AG$1148</v>
      </c>
      <c r="Q1148" s="98" t="str">
        <f ca="1">IF(J1147&gt;=11,(MID(P1148,1,1)&amp;MID(P1148,2,4)+1),CELL("address",AH1148))</f>
        <v>$AH$1148</v>
      </c>
      <c r="R1148" s="98" t="str">
        <f ca="1">IF(J1147&gt;=12,(MID(Q1148,1,1)&amp;MID(Q1148,2,4)+1),CELL("address",AI1148))</f>
        <v>$AI$1148</v>
      </c>
    </row>
    <row r="1149" spans="1:8" ht="15" customHeight="1">
      <c r="A1149" s="281"/>
      <c r="B1149" s="282"/>
      <c r="C1149" s="278"/>
      <c r="D1149" s="40" t="s">
        <v>27</v>
      </c>
      <c r="E1149" s="68">
        <v>0.046</v>
      </c>
      <c r="G1149" s="102" t="str">
        <f>CONCATENATE(D1149," - ",E1149,", ")</f>
        <v>Iron scrap - 0.046, </v>
      </c>
      <c r="H1149" s="1"/>
    </row>
    <row r="1150" spans="1:8" ht="13.5" customHeight="1">
      <c r="A1150" s="1"/>
      <c r="B1150" s="1"/>
      <c r="C1150" s="1"/>
      <c r="D1150" s="1"/>
      <c r="E1150" s="1"/>
      <c r="H1150" s="1"/>
    </row>
    <row r="1151" spans="1:8" ht="13.5" customHeight="1">
      <c r="A1151" s="271"/>
      <c r="B1151" s="272"/>
      <c r="C1151" s="66"/>
      <c r="D1151" s="66"/>
      <c r="E1151" s="119">
        <f>SUM(E1153:E1154)</f>
        <v>0.007</v>
      </c>
      <c r="H1151" s="1"/>
    </row>
    <row r="1152" spans="1:18" ht="15" customHeight="1">
      <c r="A1152" s="267" t="s">
        <v>5</v>
      </c>
      <c r="B1152" s="267"/>
      <c r="C1152" s="64" t="s">
        <v>17</v>
      </c>
      <c r="D1152" s="65" t="s">
        <v>18</v>
      </c>
      <c r="E1152" s="68" t="s">
        <v>7</v>
      </c>
      <c r="G1152" s="175" t="str">
        <f>CONCATENATE("Misc. Healthy parts/ Non Ferrous  Scrap, Lying at ",C1153,". Quantity in MT - ")</f>
        <v>Misc. Healthy parts/ Non Ferrous  Scrap, Lying at TRY Moga. Quantity in MT - </v>
      </c>
      <c r="H1152" s="285" t="str">
        <f ca="1">CONCATENATE(G1152,G1153,(INDIRECT(I1153)),(INDIRECT(J1153)),(INDIRECT(K1153)),(INDIRECT(L1153)),(INDIRECT(M1153)),(INDIRECT(N1153)),(INDIRECT(O1153)),(INDIRECT(P1153)),(INDIRECT(Q1153)),(INDIRECT(R1153)),".")</f>
        <v>Misc. Healthy parts/ Non Ferrous  Scrap, Lying at TRY Moga. Quantity in MT - Misc. Alumn. Scrap - 0.004, Iron scrap - 0.003, .</v>
      </c>
      <c r="I1152" s="98" t="str">
        <f aca="true" ca="1" t="array" ref="I1152">CELL("address",INDEX(G1152:G1174,MATCH(TRUE,ISBLANK(G1152:G1174),0)))</f>
        <v>$G$1155</v>
      </c>
      <c r="J1152" s="98">
        <f aca="true" t="array" ref="J1152">MATCH(TRUE,ISBLANK(G1152:G1174),0)</f>
        <v>4</v>
      </c>
      <c r="K1152" s="98">
        <f>J1152-3</f>
        <v>1</v>
      </c>
      <c r="L1152" s="98"/>
      <c r="M1152" s="98"/>
      <c r="N1152" s="98"/>
      <c r="O1152" s="98"/>
      <c r="P1152" s="98"/>
      <c r="Q1152" s="98"/>
      <c r="R1152" s="98"/>
    </row>
    <row r="1153" spans="1:18" ht="15" customHeight="1">
      <c r="A1153" s="267" t="s">
        <v>654</v>
      </c>
      <c r="B1153" s="267"/>
      <c r="C1153" s="268" t="s">
        <v>222</v>
      </c>
      <c r="D1153" s="45" t="s">
        <v>31</v>
      </c>
      <c r="E1153" s="120">
        <v>0.004</v>
      </c>
      <c r="G1153" s="102" t="str">
        <f>CONCATENATE(D1153," - ",E1153,", ")</f>
        <v>Misc. Alumn. Scrap - 0.004, </v>
      </c>
      <c r="H1153" s="285"/>
      <c r="I1153" s="98" t="str">
        <f ca="1">IF(J1152&gt;=3,(MID(I1152,2,1)&amp;MID(I1152,4,4)-K1152),CELL("address",Z1153))</f>
        <v>G1154</v>
      </c>
      <c r="J1153" s="98" t="str">
        <f ca="1">IF(J1152&gt;=4,(MID(I1153,1,1)&amp;MID(I1153,2,4)+1),CELL("address",AA1153))</f>
        <v>G1155</v>
      </c>
      <c r="K1153" s="98" t="str">
        <f ca="1">IF(J1152&gt;=5,(MID(J1153,1,1)&amp;MID(J1153,2,4)+1),CELL("address",AB1153))</f>
        <v>$AB$1153</v>
      </c>
      <c r="L1153" s="98" t="str">
        <f ca="1">IF(J1152&gt;=6,(MID(K1153,1,1)&amp;MID(K1153,2,4)+1),CELL("address",AC1153))</f>
        <v>$AC$1153</v>
      </c>
      <c r="M1153" s="98" t="str">
        <f ca="1">IF(J1152&gt;=7,(MID(L1153,1,1)&amp;MID(L1153,2,4)+1),CELL("address",AD1153))</f>
        <v>$AD$1153</v>
      </c>
      <c r="N1153" s="98" t="str">
        <f ca="1">IF(J1152&gt;=8,(MID(M1153,1,1)&amp;MID(M1153,2,4)+1),CELL("address",AE1153))</f>
        <v>$AE$1153</v>
      </c>
      <c r="O1153" s="98" t="str">
        <f ca="1">IF(J1152&gt;=9,(MID(N1153,1,1)&amp;MID(N1153,2,4)+1),CELL("address",AF1153))</f>
        <v>$AF$1153</v>
      </c>
      <c r="P1153" s="98" t="str">
        <f ca="1">IF(J1152&gt;=10,(MID(O1153,1,1)&amp;MID(O1153,2,4)+1),CELL("address",AG1153))</f>
        <v>$AG$1153</v>
      </c>
      <c r="Q1153" s="98" t="str">
        <f ca="1">IF(J1152&gt;=11,(MID(P1153,1,1)&amp;MID(P1153,2,4)+1),CELL("address",AH1153))</f>
        <v>$AH$1153</v>
      </c>
      <c r="R1153" s="98" t="str">
        <f ca="1">IF(J1152&gt;=12,(MID(Q1153,1,1)&amp;MID(Q1153,2,4)+1),CELL("address",AI1153))</f>
        <v>$AI$1153</v>
      </c>
    </row>
    <row r="1154" spans="1:8" ht="15" customHeight="1">
      <c r="A1154" s="267"/>
      <c r="B1154" s="267"/>
      <c r="C1154" s="268"/>
      <c r="D1154" s="40" t="s">
        <v>27</v>
      </c>
      <c r="E1154" s="68">
        <v>0.003</v>
      </c>
      <c r="G1154" s="102" t="str">
        <f>CONCATENATE(D1154," - ",E1154,", ")</f>
        <v>Iron scrap - 0.003, </v>
      </c>
      <c r="H1154" s="1"/>
    </row>
    <row r="1155" spans="1:8" ht="15" customHeight="1">
      <c r="A1155" s="1"/>
      <c r="B1155" s="1"/>
      <c r="C1155" s="1"/>
      <c r="D1155" s="1"/>
      <c r="E1155" s="1"/>
      <c r="H1155" s="1"/>
    </row>
    <row r="1156" spans="1:8" ht="15" customHeight="1">
      <c r="A1156" s="271"/>
      <c r="B1156" s="272"/>
      <c r="C1156" s="66"/>
      <c r="D1156" s="66"/>
      <c r="E1156" s="119">
        <f>SUM(E1158:E1159)</f>
        <v>0.099</v>
      </c>
      <c r="H1156" s="1"/>
    </row>
    <row r="1157" spans="1:18" ht="15" customHeight="1">
      <c r="A1157" s="267" t="s">
        <v>5</v>
      </c>
      <c r="B1157" s="267"/>
      <c r="C1157" s="64" t="s">
        <v>17</v>
      </c>
      <c r="D1157" s="65" t="s">
        <v>18</v>
      </c>
      <c r="E1157" s="68" t="s">
        <v>7</v>
      </c>
      <c r="G1157" s="175" t="str">
        <f>CONCATENATE("Misc. Healthy parts/ Non Ferrous  Scrap, Lying at ",C1158,". Quantity in MT - ")</f>
        <v>Misc. Healthy parts/ Non Ferrous  Scrap, Lying at OL Nabha. Quantity in MT - </v>
      </c>
      <c r="H1157" s="285" t="str">
        <f ca="1">CONCATENATE(G1157,G1158,(INDIRECT(I1158)),(INDIRECT(J1158)),(INDIRECT(K1158)),(INDIRECT(L1158)),(INDIRECT(M1158)),(INDIRECT(N1158)),(INDIRECT(O1158)),(INDIRECT(P1158)),(INDIRECT(Q1158)),(INDIRECT(R1158)),".")</f>
        <v>Misc. Healthy parts/ Non Ferrous  Scrap, Lying at OL Nabha. Quantity in MT - Misc. Alumn. Scrap - 0.007, Misc. copper scrap - 0.092, .</v>
      </c>
      <c r="I1157" s="98" t="str">
        <f aca="true" ca="1" t="array" ref="I1157">CELL("address",INDEX(G1157:G1179,MATCH(TRUE,ISBLANK(G1157:G1179),0)))</f>
        <v>$G$1160</v>
      </c>
      <c r="J1157" s="98">
        <f aca="true" t="array" ref="J1157">MATCH(TRUE,ISBLANK(G1157:G1179),0)</f>
        <v>4</v>
      </c>
      <c r="K1157" s="98">
        <f>J1157-3</f>
        <v>1</v>
      </c>
      <c r="L1157" s="98"/>
      <c r="M1157" s="98"/>
      <c r="N1157" s="98"/>
      <c r="O1157" s="98"/>
      <c r="P1157" s="98"/>
      <c r="Q1157" s="98"/>
      <c r="R1157" s="98"/>
    </row>
    <row r="1158" spans="1:18" ht="15" customHeight="1">
      <c r="A1158" s="267" t="s">
        <v>655</v>
      </c>
      <c r="B1158" s="267"/>
      <c r="C1158" s="268" t="s">
        <v>104</v>
      </c>
      <c r="D1158" s="45" t="s">
        <v>31</v>
      </c>
      <c r="E1158" s="120">
        <v>0.007</v>
      </c>
      <c r="G1158" s="102" t="str">
        <f>CONCATENATE(D1158," - ",E1158,", ")</f>
        <v>Misc. Alumn. Scrap - 0.007, </v>
      </c>
      <c r="H1158" s="285"/>
      <c r="I1158" s="98" t="str">
        <f ca="1">IF(J1157&gt;=3,(MID(I1157,2,1)&amp;MID(I1157,4,4)-K1157),CELL("address",Z1158))</f>
        <v>G1159</v>
      </c>
      <c r="J1158" s="98" t="str">
        <f ca="1">IF(J1157&gt;=4,(MID(I1158,1,1)&amp;MID(I1158,2,4)+1),CELL("address",AA1158))</f>
        <v>G1160</v>
      </c>
      <c r="K1158" s="98" t="str">
        <f ca="1">IF(J1157&gt;=5,(MID(J1158,1,1)&amp;MID(J1158,2,4)+1),CELL("address",AB1158))</f>
        <v>$AB$1158</v>
      </c>
      <c r="L1158" s="98" t="str">
        <f ca="1">IF(J1157&gt;=6,(MID(K1158,1,1)&amp;MID(K1158,2,4)+1),CELL("address",AC1158))</f>
        <v>$AC$1158</v>
      </c>
      <c r="M1158" s="98" t="str">
        <f ca="1">IF(J1157&gt;=7,(MID(L1158,1,1)&amp;MID(L1158,2,4)+1),CELL("address",AD1158))</f>
        <v>$AD$1158</v>
      </c>
      <c r="N1158" s="98" t="str">
        <f ca="1">IF(J1157&gt;=8,(MID(M1158,1,1)&amp;MID(M1158,2,4)+1),CELL("address",AE1158))</f>
        <v>$AE$1158</v>
      </c>
      <c r="O1158" s="98" t="str">
        <f ca="1">IF(J1157&gt;=9,(MID(N1158,1,1)&amp;MID(N1158,2,4)+1),CELL("address",AF1158))</f>
        <v>$AF$1158</v>
      </c>
      <c r="P1158" s="98" t="str">
        <f ca="1">IF(J1157&gt;=10,(MID(O1158,1,1)&amp;MID(O1158,2,4)+1),CELL("address",AG1158))</f>
        <v>$AG$1158</v>
      </c>
      <c r="Q1158" s="98" t="str">
        <f ca="1">IF(J1157&gt;=11,(MID(P1158,1,1)&amp;MID(P1158,2,4)+1),CELL("address",AH1158))</f>
        <v>$AH$1158</v>
      </c>
      <c r="R1158" s="98" t="str">
        <f ca="1">IF(J1157&gt;=12,(MID(Q1158,1,1)&amp;MID(Q1158,2,4)+1),CELL("address",AI1158))</f>
        <v>$AI$1158</v>
      </c>
    </row>
    <row r="1159" spans="1:8" ht="15" customHeight="1">
      <c r="A1159" s="267"/>
      <c r="B1159" s="267"/>
      <c r="C1159" s="268"/>
      <c r="D1159" s="60" t="s">
        <v>111</v>
      </c>
      <c r="E1159" s="68">
        <v>0.092</v>
      </c>
      <c r="G1159" s="102" t="str">
        <f>CONCATENATE(D1159," - ",E1159,", ")</f>
        <v>Misc. copper scrap - 0.092, </v>
      </c>
      <c r="H1159" s="1"/>
    </row>
    <row r="1160" spans="1:8" ht="15" customHeight="1">
      <c r="A1160" s="1"/>
      <c r="B1160" s="1"/>
      <c r="C1160" s="1"/>
      <c r="D1160" s="1"/>
      <c r="E1160" s="1"/>
      <c r="H1160" s="1"/>
    </row>
    <row r="1161" spans="1:8" ht="15" customHeight="1">
      <c r="A1161" s="271"/>
      <c r="B1161" s="272"/>
      <c r="C1161" s="66"/>
      <c r="D1161" s="66"/>
      <c r="E1161" s="67">
        <f>SUM(E1163:E1163)</f>
        <v>2</v>
      </c>
      <c r="H1161" s="1"/>
    </row>
    <row r="1162" spans="1:18" ht="15" customHeight="1">
      <c r="A1162" s="267" t="s">
        <v>5</v>
      </c>
      <c r="B1162" s="267"/>
      <c r="C1162" s="64" t="s">
        <v>17</v>
      </c>
      <c r="D1162" s="65" t="s">
        <v>18</v>
      </c>
      <c r="E1162" s="64" t="s">
        <v>7</v>
      </c>
      <c r="G1162" s="175" t="str">
        <f>CONCATENATE("Misc. Healthy parts/ Non Ferrous  Scrap, Lying at ",C1163,". Quantity in MT - ")</f>
        <v>Misc. Healthy parts/ Non Ferrous  Scrap, Lying at TRY Malerkotla. Quantity in MT - </v>
      </c>
      <c r="H1162" s="285" t="str">
        <f ca="1">CONCATENATE(G1162,G1163,(INDIRECT(I1163)),(INDIRECT(J1163)),(INDIRECT(K1163)),(INDIRECT(L1163)),(INDIRECT(M1163)),(INDIRECT(N1163)),(INDIRECT(O1163)),(INDIRECT(P1163)),(INDIRECT(Q1163)),(INDIRECT(R1163)),".")</f>
        <v>Misc. Healthy parts/ Non Ferrous  Scrap, Lying at TRY Malerkotla. Quantity in MT - Brass scrap - 2, .</v>
      </c>
      <c r="I1162" s="98" t="str">
        <f aca="true" ca="1" t="array" ref="I1162">CELL("address",INDEX(G1162:G1184,MATCH(TRUE,ISBLANK(G1162:G1184),0)))</f>
        <v>$G$1164</v>
      </c>
      <c r="J1162" s="98">
        <f aca="true" t="array" ref="J1162">MATCH(TRUE,ISBLANK(G1162:G1184),0)</f>
        <v>3</v>
      </c>
      <c r="K1162" s="98">
        <f>J1162-3</f>
        <v>0</v>
      </c>
      <c r="L1162" s="98"/>
      <c r="M1162" s="98"/>
      <c r="N1162" s="98"/>
      <c r="O1162" s="98"/>
      <c r="P1162" s="98"/>
      <c r="Q1162" s="98"/>
      <c r="R1162" s="98"/>
    </row>
    <row r="1163" spans="1:24" ht="15" customHeight="1">
      <c r="A1163" s="267" t="s">
        <v>660</v>
      </c>
      <c r="B1163" s="267"/>
      <c r="C1163" s="222" t="s">
        <v>28</v>
      </c>
      <c r="D1163" s="45" t="s">
        <v>23</v>
      </c>
      <c r="E1163" s="47">
        <v>2</v>
      </c>
      <c r="G1163" s="102" t="str">
        <f>CONCATENATE(D1163," - ",E1163,", ")</f>
        <v>Brass scrap - 2, </v>
      </c>
      <c r="H1163" s="285"/>
      <c r="I1163" s="98" t="str">
        <f ca="1">IF(J1162&gt;=3,(MID(I1162,2,1)&amp;MID(I1162,4,4)-K1162),CELL("address",Z1163))</f>
        <v>G1164</v>
      </c>
      <c r="J1163" s="98" t="str">
        <f ca="1">IF(J1162&gt;=4,(MID(I1163,1,1)&amp;MID(I1163,2,4)+1),CELL("address",AA1163))</f>
        <v>$AA$1163</v>
      </c>
      <c r="K1163" s="98" t="str">
        <f ca="1">IF(J1162&gt;=5,(MID(J1163,1,1)&amp;MID(J1163,2,4)+1),CELL("address",AB1163))</f>
        <v>$AB$1163</v>
      </c>
      <c r="L1163" s="98" t="str">
        <f ca="1">IF(J1162&gt;=6,(MID(K1163,1,1)&amp;MID(K1163,2,4)+1),CELL("address",AC1163))</f>
        <v>$AC$1163</v>
      </c>
      <c r="M1163" s="98" t="str">
        <f ca="1">IF(J1162&gt;=7,(MID(L1163,1,1)&amp;MID(L1163,2,4)+1),CELL("address",AD1163))</f>
        <v>$AD$1163</v>
      </c>
      <c r="N1163" s="98" t="str">
        <f ca="1">IF(J1162&gt;=8,(MID(M1163,1,1)&amp;MID(M1163,2,4)+1),CELL("address",AE1163))</f>
        <v>$AE$1163</v>
      </c>
      <c r="O1163" s="98" t="str">
        <f ca="1">IF(J1162&gt;=9,(MID(N1163,1,1)&amp;MID(N1163,2,4)+1),CELL("address",AF1163))</f>
        <v>$AF$1163</v>
      </c>
      <c r="P1163" s="98" t="str">
        <f ca="1">IF(J1162&gt;=10,(MID(O1163,1,1)&amp;MID(O1163,2,4)+1),CELL("address",AG1163))</f>
        <v>$AG$1163</v>
      </c>
      <c r="Q1163" s="98" t="str">
        <f ca="1">IF(J1162&gt;=11,(MID(P1163,1,1)&amp;MID(P1163,2,4)+1),CELL("address",AH1163))</f>
        <v>$AH$1163</v>
      </c>
      <c r="R1163" s="98" t="str">
        <f ca="1">IF(J1162&gt;=12,(MID(Q1163,1,1)&amp;MID(Q1163,2,4)+1),CELL("address",AI1163))</f>
        <v>$AI$1163</v>
      </c>
      <c r="T1163" s="301" t="s">
        <v>661</v>
      </c>
      <c r="U1163" s="301"/>
      <c r="V1163" s="301"/>
      <c r="W1163" s="301"/>
      <c r="X1163" s="301"/>
    </row>
    <row r="1164" spans="1:8" ht="15" customHeight="1">
      <c r="A1164" s="1"/>
      <c r="B1164" s="1"/>
      <c r="C1164" s="1"/>
      <c r="D1164" s="1"/>
      <c r="E1164" s="1"/>
      <c r="H1164" s="1"/>
    </row>
    <row r="1165" spans="1:8" ht="15" customHeight="1">
      <c r="A1165" s="1"/>
      <c r="B1165" s="1"/>
      <c r="C1165" s="1"/>
      <c r="D1165" s="1"/>
      <c r="E1165" s="1"/>
      <c r="H1165" s="1"/>
    </row>
    <row r="1166" spans="1:8" ht="15" customHeight="1">
      <c r="A1166" s="1"/>
      <c r="B1166" s="1"/>
      <c r="C1166" s="1"/>
      <c r="D1166" s="1"/>
      <c r="E1166" s="1"/>
      <c r="H1166" s="1"/>
    </row>
    <row r="1167" spans="1:8" ht="15" customHeight="1">
      <c r="A1167" s="1"/>
      <c r="B1167" s="1"/>
      <c r="C1167" s="1"/>
      <c r="D1167" s="1"/>
      <c r="E1167" s="1"/>
      <c r="H1167" s="1"/>
    </row>
    <row r="1168" spans="1:8" ht="15" customHeight="1">
      <c r="A1168" s="1"/>
      <c r="B1168" s="1"/>
      <c r="C1168" s="1"/>
      <c r="D1168" s="1"/>
      <c r="E1168" s="1"/>
      <c r="H1168" s="1"/>
    </row>
    <row r="1169" spans="1:8" ht="15" customHeight="1">
      <c r="A1169" s="1"/>
      <c r="B1169" s="1"/>
      <c r="C1169" s="1"/>
      <c r="D1169" s="1"/>
      <c r="E1169" s="1"/>
      <c r="H1169" s="1"/>
    </row>
    <row r="1170" spans="1:8" ht="15" customHeight="1">
      <c r="A1170" s="1"/>
      <c r="B1170" s="1"/>
      <c r="C1170" s="1"/>
      <c r="D1170" s="1"/>
      <c r="E1170" s="1"/>
      <c r="H1170" s="1"/>
    </row>
    <row r="1171" spans="1:8" ht="15.75" customHeight="1">
      <c r="A1171" s="1"/>
      <c r="B1171" s="1"/>
      <c r="C1171" s="1"/>
      <c r="D1171" s="1"/>
      <c r="E1171" s="1"/>
      <c r="H1171" s="1"/>
    </row>
    <row r="1172" spans="1:8" ht="15.75" customHeight="1">
      <c r="A1172" s="1"/>
      <c r="B1172" s="1"/>
      <c r="C1172" s="1"/>
      <c r="D1172" s="1"/>
      <c r="E1172" s="1"/>
      <c r="H1172" s="1"/>
    </row>
    <row r="1173" spans="1:8" ht="15.75" customHeight="1">
      <c r="A1173" s="1"/>
      <c r="B1173" s="1"/>
      <c r="C1173" s="1"/>
      <c r="D1173" s="1"/>
      <c r="E1173" s="1"/>
      <c r="H1173" s="1"/>
    </row>
    <row r="1174" spans="1:8" ht="15" customHeight="1">
      <c r="A1174" s="1"/>
      <c r="B1174" s="1"/>
      <c r="C1174" s="1"/>
      <c r="D1174" s="1"/>
      <c r="E1174" s="1"/>
      <c r="H1174" s="1"/>
    </row>
    <row r="1175" spans="1:8" ht="15" customHeight="1">
      <c r="A1175" s="1"/>
      <c r="B1175" s="1"/>
      <c r="C1175" s="1"/>
      <c r="D1175" s="1"/>
      <c r="E1175" s="1"/>
      <c r="H1175" s="1"/>
    </row>
    <row r="1176" spans="1:8" ht="15" customHeight="1">
      <c r="A1176" s="1"/>
      <c r="B1176" s="1"/>
      <c r="C1176" s="1"/>
      <c r="D1176" s="1"/>
      <c r="E1176" s="1"/>
      <c r="H1176" s="1"/>
    </row>
    <row r="1177" spans="1:8" ht="15" customHeight="1">
      <c r="A1177" s="1"/>
      <c r="B1177" s="1"/>
      <c r="C1177" s="1"/>
      <c r="D1177" s="1"/>
      <c r="E1177" s="1"/>
      <c r="H1177" s="1"/>
    </row>
    <row r="1178" spans="1:8" ht="15" customHeight="1">
      <c r="A1178" s="1"/>
      <c r="B1178" s="1"/>
      <c r="C1178" s="1"/>
      <c r="D1178" s="1"/>
      <c r="E1178" s="1"/>
      <c r="H1178" s="1"/>
    </row>
    <row r="1179" spans="1:8" ht="15" customHeight="1">
      <c r="A1179" s="1"/>
      <c r="B1179" s="1"/>
      <c r="C1179" s="1"/>
      <c r="D1179" s="1"/>
      <c r="E1179" s="1"/>
      <c r="H1179" s="1"/>
    </row>
    <row r="1180" spans="1:8" ht="15" customHeight="1">
      <c r="A1180" s="1"/>
      <c r="B1180" s="1"/>
      <c r="C1180" s="1"/>
      <c r="D1180" s="1"/>
      <c r="E1180" s="1"/>
      <c r="H1180" s="1"/>
    </row>
    <row r="1181" spans="1:8" ht="15" customHeight="1">
      <c r="A1181" s="1"/>
      <c r="B1181" s="1"/>
      <c r="C1181" s="1"/>
      <c r="D1181" s="1"/>
      <c r="E1181" s="1"/>
      <c r="H1181" s="1"/>
    </row>
    <row r="1182" spans="1:8" ht="15" customHeight="1">
      <c r="A1182" s="1"/>
      <c r="B1182" s="1"/>
      <c r="C1182" s="1"/>
      <c r="D1182" s="1"/>
      <c r="E1182" s="1"/>
      <c r="H1182" s="1"/>
    </row>
    <row r="1183" spans="1:8" ht="15" customHeight="1">
      <c r="A1183" s="1"/>
      <c r="B1183" s="1"/>
      <c r="C1183" s="1"/>
      <c r="D1183" s="1"/>
      <c r="E1183" s="1"/>
      <c r="H1183" s="1"/>
    </row>
    <row r="1184" spans="1:8" ht="15" customHeight="1">
      <c r="A1184" s="1"/>
      <c r="B1184" s="1"/>
      <c r="C1184" s="1"/>
      <c r="D1184" s="1"/>
      <c r="E1184" s="1"/>
      <c r="H1184" s="1"/>
    </row>
    <row r="1185" spans="1:8" ht="15" customHeight="1">
      <c r="A1185" s="1"/>
      <c r="B1185" s="1"/>
      <c r="C1185" s="1"/>
      <c r="D1185" s="1"/>
      <c r="E1185" s="1"/>
      <c r="H1185" s="1"/>
    </row>
    <row r="1186" spans="1:8" ht="15" customHeight="1">
      <c r="A1186" s="1"/>
      <c r="B1186" s="1"/>
      <c r="C1186" s="1"/>
      <c r="D1186" s="1"/>
      <c r="E1186" s="1"/>
      <c r="H1186" s="1"/>
    </row>
    <row r="1187" spans="1:8" ht="15" customHeight="1">
      <c r="A1187" s="1"/>
      <c r="B1187" s="1"/>
      <c r="C1187" s="1"/>
      <c r="D1187" s="1"/>
      <c r="E1187" s="1"/>
      <c r="H1187" s="1"/>
    </row>
    <row r="1188" spans="1:8" ht="15" customHeight="1">
      <c r="A1188" s="1"/>
      <c r="B1188" s="1"/>
      <c r="C1188" s="1"/>
      <c r="D1188" s="1"/>
      <c r="E1188" s="1"/>
      <c r="H1188" s="1"/>
    </row>
    <row r="1189" spans="1:8" ht="15" customHeight="1">
      <c r="A1189" s="1"/>
      <c r="B1189" s="1"/>
      <c r="C1189" s="1"/>
      <c r="D1189" s="1"/>
      <c r="E1189" s="1"/>
      <c r="H1189" s="1"/>
    </row>
    <row r="1190" spans="1:8" ht="15" customHeight="1">
      <c r="A1190" s="1"/>
      <c r="B1190" s="1"/>
      <c r="C1190" s="1"/>
      <c r="D1190" s="1"/>
      <c r="E1190" s="1"/>
      <c r="H1190" s="1"/>
    </row>
    <row r="1191" spans="1:8" ht="15" customHeight="1">
      <c r="A1191" s="1"/>
      <c r="B1191" s="1"/>
      <c r="C1191" s="1"/>
      <c r="D1191" s="1"/>
      <c r="E1191" s="1"/>
      <c r="H1191" s="1"/>
    </row>
    <row r="1192" spans="1:8" ht="15" customHeight="1">
      <c r="A1192" s="1"/>
      <c r="B1192" s="1"/>
      <c r="C1192" s="1"/>
      <c r="D1192" s="1"/>
      <c r="E1192" s="1"/>
      <c r="H1192" s="1"/>
    </row>
    <row r="1193" spans="1:8" ht="15" customHeight="1">
      <c r="A1193" s="1"/>
      <c r="B1193" s="1"/>
      <c r="C1193" s="1"/>
      <c r="D1193" s="1"/>
      <c r="E1193" s="1"/>
      <c r="H1193" s="1"/>
    </row>
    <row r="1194" spans="1:8" ht="15" customHeight="1">
      <c r="A1194" s="1"/>
      <c r="B1194" s="1"/>
      <c r="C1194" s="1"/>
      <c r="D1194" s="1"/>
      <c r="E1194" s="1"/>
      <c r="H1194" s="1"/>
    </row>
    <row r="1195" spans="1:8" ht="15" customHeight="1">
      <c r="A1195" s="1"/>
      <c r="B1195" s="1"/>
      <c r="C1195" s="1"/>
      <c r="D1195" s="1"/>
      <c r="E1195" s="1"/>
      <c r="H1195" s="1"/>
    </row>
    <row r="1196" spans="1:8" ht="15" customHeight="1">
      <c r="A1196" s="1"/>
      <c r="B1196" s="1"/>
      <c r="C1196" s="1"/>
      <c r="D1196" s="1"/>
      <c r="E1196" s="1"/>
      <c r="H1196" s="1"/>
    </row>
    <row r="1197" spans="1:8" ht="15" customHeight="1">
      <c r="A1197" s="1"/>
      <c r="B1197" s="1"/>
      <c r="C1197" s="1"/>
      <c r="D1197" s="1"/>
      <c r="E1197" s="1"/>
      <c r="H1197" s="1"/>
    </row>
    <row r="1198" spans="1:8" ht="15" customHeight="1">
      <c r="A1198" s="1"/>
      <c r="B1198" s="1"/>
      <c r="C1198" s="1"/>
      <c r="D1198" s="1"/>
      <c r="E1198" s="1"/>
      <c r="H1198" s="1"/>
    </row>
    <row r="1199" spans="1:8" ht="13.5" customHeight="1">
      <c r="A1199" s="1"/>
      <c r="B1199" s="1"/>
      <c r="C1199" s="1"/>
      <c r="D1199" s="1"/>
      <c r="E1199" s="1"/>
      <c r="H1199" s="1"/>
    </row>
    <row r="1200" spans="1:8" ht="13.5" customHeight="1">
      <c r="A1200" s="1"/>
      <c r="B1200" s="1"/>
      <c r="C1200" s="1"/>
      <c r="D1200" s="1"/>
      <c r="E1200" s="1"/>
      <c r="H1200" s="1"/>
    </row>
    <row r="1201" spans="1:8" ht="15" customHeight="1">
      <c r="A1201" s="1"/>
      <c r="B1201" s="1"/>
      <c r="C1201" s="1"/>
      <c r="D1201" s="1"/>
      <c r="E1201" s="1"/>
      <c r="H1201" s="1"/>
    </row>
    <row r="1202" spans="1:8" ht="15" customHeight="1">
      <c r="A1202" s="1"/>
      <c r="B1202" s="1"/>
      <c r="C1202" s="1"/>
      <c r="D1202" s="1"/>
      <c r="E1202" s="1"/>
      <c r="H1202" s="1"/>
    </row>
    <row r="1203" spans="1:8" ht="15" customHeight="1">
      <c r="A1203" s="1"/>
      <c r="B1203" s="1"/>
      <c r="C1203" s="1"/>
      <c r="D1203" s="1"/>
      <c r="E1203" s="1"/>
      <c r="H1203" s="1"/>
    </row>
    <row r="1204" spans="1:8" ht="15" customHeight="1">
      <c r="A1204" s="1"/>
      <c r="B1204" s="1"/>
      <c r="C1204" s="1"/>
      <c r="D1204" s="1"/>
      <c r="E1204" s="1"/>
      <c r="H1204" s="1"/>
    </row>
    <row r="1205" spans="1:8" ht="15" customHeight="1">
      <c r="A1205" s="1"/>
      <c r="B1205" s="1"/>
      <c r="C1205" s="1"/>
      <c r="D1205" s="1"/>
      <c r="E1205" s="1"/>
      <c r="H1205" s="1"/>
    </row>
    <row r="1206" spans="1:8" ht="16.5" customHeight="1">
      <c r="A1206" s="1"/>
      <c r="B1206" s="1"/>
      <c r="C1206" s="1"/>
      <c r="D1206" s="1"/>
      <c r="E1206" s="1"/>
      <c r="H1206" s="1"/>
    </row>
    <row r="1207" spans="1:8" ht="16.5" customHeight="1">
      <c r="A1207" s="1"/>
      <c r="B1207" s="1"/>
      <c r="C1207" s="1"/>
      <c r="D1207" s="1"/>
      <c r="E1207" s="1"/>
      <c r="H1207" s="1"/>
    </row>
    <row r="1208" spans="1:8" ht="16.5" customHeight="1">
      <c r="A1208" s="1"/>
      <c r="B1208" s="1"/>
      <c r="C1208" s="1"/>
      <c r="D1208" s="1"/>
      <c r="E1208" s="1"/>
      <c r="H1208" s="1"/>
    </row>
    <row r="1209" spans="1:8" ht="16.5" customHeight="1">
      <c r="A1209" s="1"/>
      <c r="B1209" s="1"/>
      <c r="C1209" s="1"/>
      <c r="D1209" s="1"/>
      <c r="E1209" s="1"/>
      <c r="H1209" s="1"/>
    </row>
    <row r="1210" spans="1:8" ht="16.5" customHeight="1">
      <c r="A1210" s="1"/>
      <c r="B1210" s="1"/>
      <c r="C1210" s="1"/>
      <c r="D1210" s="1"/>
      <c r="E1210" s="1"/>
      <c r="H1210" s="1"/>
    </row>
    <row r="1211" spans="1:8" ht="16.5" customHeight="1">
      <c r="A1211" s="1"/>
      <c r="B1211" s="1"/>
      <c r="C1211" s="1"/>
      <c r="D1211" s="1"/>
      <c r="E1211" s="1"/>
      <c r="H1211" s="1"/>
    </row>
    <row r="1212" spans="1:8" ht="16.5" customHeight="1">
      <c r="A1212" s="1"/>
      <c r="B1212" s="1"/>
      <c r="C1212" s="1"/>
      <c r="D1212" s="1"/>
      <c r="E1212" s="1"/>
      <c r="H1212" s="1"/>
    </row>
    <row r="1213" spans="1:8" ht="15" customHeight="1">
      <c r="A1213" s="1"/>
      <c r="B1213" s="1"/>
      <c r="C1213" s="1"/>
      <c r="D1213" s="1"/>
      <c r="E1213" s="1"/>
      <c r="H1213" s="1"/>
    </row>
    <row r="1214" spans="1:8" ht="15" customHeight="1">
      <c r="A1214" s="1"/>
      <c r="B1214" s="1"/>
      <c r="C1214" s="1"/>
      <c r="D1214" s="1"/>
      <c r="E1214" s="1"/>
      <c r="H1214" s="1"/>
    </row>
    <row r="1215" spans="1:8" ht="15" customHeight="1">
      <c r="A1215" s="1"/>
      <c r="B1215" s="1"/>
      <c r="C1215" s="1"/>
      <c r="D1215" s="1"/>
      <c r="E1215" s="1"/>
      <c r="H1215" s="1"/>
    </row>
    <row r="1216" spans="1:8" ht="14.25" customHeight="1">
      <c r="A1216" s="1"/>
      <c r="B1216" s="1"/>
      <c r="C1216" s="1"/>
      <c r="D1216" s="1"/>
      <c r="E1216" s="1"/>
      <c r="H1216" s="1"/>
    </row>
    <row r="1217" spans="1:8" ht="14.25" customHeight="1">
      <c r="A1217" s="1"/>
      <c r="B1217" s="1"/>
      <c r="C1217" s="1"/>
      <c r="D1217" s="1"/>
      <c r="E1217" s="1"/>
      <c r="H1217" s="1"/>
    </row>
    <row r="1218" spans="1:8" ht="14.25" customHeight="1">
      <c r="A1218" s="1"/>
      <c r="B1218" s="1"/>
      <c r="C1218" s="1"/>
      <c r="D1218" s="1"/>
      <c r="E1218" s="1"/>
      <c r="H1218" s="1"/>
    </row>
    <row r="1219" spans="1:8" ht="14.25" customHeight="1">
      <c r="A1219" s="1"/>
      <c r="B1219" s="1"/>
      <c r="C1219" s="1"/>
      <c r="D1219" s="1"/>
      <c r="E1219" s="1"/>
      <c r="H1219" s="1"/>
    </row>
    <row r="1220" spans="1:8" ht="14.25" customHeight="1">
      <c r="A1220" s="1"/>
      <c r="B1220" s="1"/>
      <c r="C1220" s="1"/>
      <c r="D1220" s="1"/>
      <c r="E1220" s="1"/>
      <c r="H1220" s="1"/>
    </row>
    <row r="1221" spans="1:8" ht="14.25" customHeight="1">
      <c r="A1221" s="1"/>
      <c r="B1221" s="1"/>
      <c r="C1221" s="1"/>
      <c r="D1221" s="1"/>
      <c r="E1221" s="1"/>
      <c r="H1221" s="1"/>
    </row>
    <row r="1222" spans="1:8" ht="14.25" customHeight="1">
      <c r="A1222" s="1"/>
      <c r="B1222" s="1"/>
      <c r="C1222" s="1"/>
      <c r="D1222" s="1"/>
      <c r="E1222" s="1"/>
      <c r="H1222" s="1"/>
    </row>
    <row r="1223" spans="1:8" ht="14.25" customHeight="1">
      <c r="A1223" s="1"/>
      <c r="B1223" s="1"/>
      <c r="C1223" s="1"/>
      <c r="D1223" s="1"/>
      <c r="E1223" s="1"/>
      <c r="H1223" s="1"/>
    </row>
    <row r="1224" spans="1:8" ht="14.25" customHeight="1">
      <c r="A1224" s="1"/>
      <c r="B1224" s="1"/>
      <c r="C1224" s="1"/>
      <c r="D1224" s="1"/>
      <c r="E1224" s="1"/>
      <c r="H1224" s="1"/>
    </row>
    <row r="1225" spans="1:8" ht="14.25" customHeight="1">
      <c r="A1225" s="1"/>
      <c r="B1225" s="1"/>
      <c r="C1225" s="1"/>
      <c r="D1225" s="1"/>
      <c r="E1225" s="1"/>
      <c r="H1225" s="1"/>
    </row>
    <row r="1226" spans="1:8" ht="14.25" customHeight="1">
      <c r="A1226" s="1"/>
      <c r="B1226" s="1"/>
      <c r="C1226" s="1"/>
      <c r="D1226" s="1"/>
      <c r="E1226" s="1"/>
      <c r="H1226" s="1"/>
    </row>
    <row r="1227" spans="1:8" ht="14.25" customHeight="1">
      <c r="A1227" s="1"/>
      <c r="B1227" s="1"/>
      <c r="C1227" s="1"/>
      <c r="D1227" s="1"/>
      <c r="E1227" s="1"/>
      <c r="H1227" s="1"/>
    </row>
    <row r="1228" spans="1:8" ht="14.25" customHeight="1">
      <c r="A1228" s="1"/>
      <c r="B1228" s="1"/>
      <c r="C1228" s="1"/>
      <c r="D1228" s="1"/>
      <c r="E1228" s="1"/>
      <c r="H1228" s="1"/>
    </row>
    <row r="1229" spans="1:8" ht="14.25" customHeight="1">
      <c r="A1229" s="1"/>
      <c r="B1229" s="1"/>
      <c r="C1229" s="1"/>
      <c r="D1229" s="1"/>
      <c r="E1229" s="1"/>
      <c r="H1229" s="1"/>
    </row>
    <row r="1230" spans="1:8" ht="14.25" customHeight="1">
      <c r="A1230" s="1"/>
      <c r="B1230" s="1"/>
      <c r="C1230" s="1"/>
      <c r="D1230" s="1"/>
      <c r="E1230" s="1"/>
      <c r="H1230" s="1"/>
    </row>
    <row r="1231" spans="1:8" ht="14.25" customHeight="1">
      <c r="A1231" s="1"/>
      <c r="B1231" s="1"/>
      <c r="C1231" s="1"/>
      <c r="D1231" s="1"/>
      <c r="E1231" s="1"/>
      <c r="H1231" s="1"/>
    </row>
    <row r="1232" spans="1:8" ht="14.25" customHeight="1">
      <c r="A1232" s="1"/>
      <c r="B1232" s="1"/>
      <c r="C1232" s="1"/>
      <c r="D1232" s="1"/>
      <c r="E1232" s="1"/>
      <c r="H1232" s="1"/>
    </row>
    <row r="1233" spans="1:8" ht="14.25" customHeight="1">
      <c r="A1233" s="1"/>
      <c r="B1233" s="1"/>
      <c r="C1233" s="1"/>
      <c r="D1233" s="1"/>
      <c r="E1233" s="1"/>
      <c r="H1233" s="1"/>
    </row>
    <row r="1234" spans="1:8" ht="14.25" customHeight="1">
      <c r="A1234" s="1"/>
      <c r="B1234" s="1"/>
      <c r="C1234" s="1"/>
      <c r="D1234" s="1"/>
      <c r="E1234" s="1"/>
      <c r="H1234" s="1"/>
    </row>
    <row r="1235" spans="1:8" ht="14.25" customHeight="1">
      <c r="A1235" s="1"/>
      <c r="B1235" s="1"/>
      <c r="C1235" s="1"/>
      <c r="D1235" s="1"/>
      <c r="E1235" s="1"/>
      <c r="H1235" s="1"/>
    </row>
    <row r="1236" spans="1:8" ht="14.25" customHeight="1">
      <c r="A1236" s="1"/>
      <c r="B1236" s="1"/>
      <c r="C1236" s="1"/>
      <c r="D1236" s="1"/>
      <c r="E1236" s="1"/>
      <c r="H1236" s="1"/>
    </row>
    <row r="1237" spans="1:8" ht="14.25" customHeight="1">
      <c r="A1237" s="1"/>
      <c r="B1237" s="1"/>
      <c r="C1237" s="1"/>
      <c r="D1237" s="1"/>
      <c r="E1237" s="1"/>
      <c r="H1237" s="1"/>
    </row>
    <row r="1238" spans="1:8" ht="14.25" customHeight="1">
      <c r="A1238" s="1"/>
      <c r="B1238" s="1"/>
      <c r="C1238" s="1"/>
      <c r="D1238" s="1"/>
      <c r="E1238" s="1"/>
      <c r="H1238" s="1"/>
    </row>
    <row r="1239" spans="1:8" ht="14.25" customHeight="1">
      <c r="A1239" s="1"/>
      <c r="B1239" s="1"/>
      <c r="C1239" s="1"/>
      <c r="D1239" s="1"/>
      <c r="E1239" s="1"/>
      <c r="H1239" s="1"/>
    </row>
    <row r="1240" spans="1:8" ht="14.25" customHeight="1">
      <c r="A1240" s="1"/>
      <c r="B1240" s="1"/>
      <c r="C1240" s="1"/>
      <c r="D1240" s="1"/>
      <c r="E1240" s="1"/>
      <c r="H1240" s="1"/>
    </row>
    <row r="1241" spans="1:8" ht="14.25" customHeight="1">
      <c r="A1241" s="1"/>
      <c r="B1241" s="1"/>
      <c r="C1241" s="1"/>
      <c r="D1241" s="1"/>
      <c r="E1241" s="1"/>
      <c r="H1241" s="1"/>
    </row>
    <row r="1242" spans="1:8" ht="14.25" customHeight="1">
      <c r="A1242" s="1"/>
      <c r="B1242" s="1"/>
      <c r="C1242" s="1"/>
      <c r="D1242" s="1"/>
      <c r="E1242" s="1"/>
      <c r="H1242" s="1"/>
    </row>
    <row r="1243" spans="1:8" ht="14.25" customHeight="1">
      <c r="A1243" s="1"/>
      <c r="B1243" s="1"/>
      <c r="C1243" s="1"/>
      <c r="D1243" s="1"/>
      <c r="E1243" s="1"/>
      <c r="H1243" s="1"/>
    </row>
    <row r="1244" spans="1:8" ht="14.25" customHeight="1">
      <c r="A1244" s="1"/>
      <c r="B1244" s="1"/>
      <c r="C1244" s="1"/>
      <c r="D1244" s="1"/>
      <c r="E1244" s="1"/>
      <c r="H1244" s="1"/>
    </row>
    <row r="1245" spans="1:8" ht="14.25" customHeight="1">
      <c r="A1245" s="1"/>
      <c r="B1245" s="1"/>
      <c r="C1245" s="1"/>
      <c r="D1245" s="1"/>
      <c r="E1245" s="1"/>
      <c r="H1245" s="1"/>
    </row>
    <row r="1246" spans="1:8" ht="14.25" customHeight="1">
      <c r="A1246" s="1"/>
      <c r="B1246" s="1"/>
      <c r="C1246" s="1"/>
      <c r="D1246" s="1"/>
      <c r="E1246" s="1"/>
      <c r="H1246" s="1"/>
    </row>
    <row r="1247" spans="1:8" ht="14.25" customHeight="1">
      <c r="A1247" s="1"/>
      <c r="B1247" s="1"/>
      <c r="C1247" s="1"/>
      <c r="D1247" s="1"/>
      <c r="E1247" s="1"/>
      <c r="H1247" s="1"/>
    </row>
    <row r="1248" spans="1:8" ht="14.25" customHeight="1">
      <c r="A1248" s="1"/>
      <c r="B1248" s="1"/>
      <c r="C1248" s="1"/>
      <c r="D1248" s="1"/>
      <c r="E1248" s="1"/>
      <c r="H1248" s="1"/>
    </row>
    <row r="1249" spans="1:8" ht="14.25" customHeight="1">
      <c r="A1249" s="1"/>
      <c r="B1249" s="1"/>
      <c r="C1249" s="1"/>
      <c r="D1249" s="1"/>
      <c r="E1249" s="1"/>
      <c r="H1249" s="1"/>
    </row>
    <row r="1250" spans="1:8" ht="14.25" customHeight="1">
      <c r="A1250" s="1"/>
      <c r="B1250" s="1"/>
      <c r="C1250" s="1"/>
      <c r="D1250" s="1"/>
      <c r="E1250" s="1"/>
      <c r="H1250" s="1"/>
    </row>
    <row r="1251" spans="1:8" ht="14.25" customHeight="1">
      <c r="A1251" s="1"/>
      <c r="B1251" s="1"/>
      <c r="C1251" s="1"/>
      <c r="D1251" s="1"/>
      <c r="E1251" s="1"/>
      <c r="H1251" s="1"/>
    </row>
    <row r="1252" spans="1:8" ht="14.25" customHeight="1">
      <c r="A1252" s="1"/>
      <c r="B1252" s="1"/>
      <c r="C1252" s="1"/>
      <c r="D1252" s="1"/>
      <c r="E1252" s="1"/>
      <c r="H1252" s="1"/>
    </row>
    <row r="1253" spans="1:8" ht="14.25" customHeight="1">
      <c r="A1253" s="1"/>
      <c r="B1253" s="1"/>
      <c r="C1253" s="1"/>
      <c r="D1253" s="1"/>
      <c r="E1253" s="1"/>
      <c r="H1253" s="1"/>
    </row>
    <row r="1254" spans="1:8" ht="14.25" customHeight="1">
      <c r="A1254" s="1"/>
      <c r="B1254" s="1"/>
      <c r="C1254" s="1"/>
      <c r="D1254" s="1"/>
      <c r="E1254" s="1"/>
      <c r="H1254" s="1"/>
    </row>
    <row r="1255" spans="1:8" ht="14.25" customHeight="1">
      <c r="A1255" s="1"/>
      <c r="B1255" s="1"/>
      <c r="C1255" s="1"/>
      <c r="D1255" s="1"/>
      <c r="E1255" s="1"/>
      <c r="H1255" s="1"/>
    </row>
    <row r="1256" spans="1:8" ht="14.25" customHeight="1">
      <c r="A1256" s="1"/>
      <c r="B1256" s="1"/>
      <c r="C1256" s="1"/>
      <c r="D1256" s="1"/>
      <c r="E1256" s="1"/>
      <c r="H1256" s="1"/>
    </row>
    <row r="1257" spans="1:8" ht="14.25" customHeight="1">
      <c r="A1257" s="1"/>
      <c r="B1257" s="1"/>
      <c r="C1257" s="1"/>
      <c r="D1257" s="1"/>
      <c r="E1257" s="1"/>
      <c r="H1257" s="1"/>
    </row>
    <row r="1258" spans="1:8" ht="14.25" customHeight="1">
      <c r="A1258" s="1"/>
      <c r="B1258" s="1"/>
      <c r="C1258" s="1"/>
      <c r="D1258" s="1"/>
      <c r="E1258" s="1"/>
      <c r="H1258" s="1"/>
    </row>
    <row r="1259" spans="1:8" ht="14.25" customHeight="1">
      <c r="A1259" s="1"/>
      <c r="B1259" s="1"/>
      <c r="C1259" s="1"/>
      <c r="D1259" s="1"/>
      <c r="E1259" s="1"/>
      <c r="H1259" s="1"/>
    </row>
    <row r="1260" spans="1:8" ht="14.25" customHeight="1">
      <c r="A1260" s="1"/>
      <c r="B1260" s="1"/>
      <c r="C1260" s="1"/>
      <c r="D1260" s="1"/>
      <c r="E1260" s="1"/>
      <c r="H1260" s="1"/>
    </row>
    <row r="1261" spans="1:8" ht="14.25" customHeight="1">
      <c r="A1261" s="1"/>
      <c r="B1261" s="1"/>
      <c r="C1261" s="1"/>
      <c r="D1261" s="1"/>
      <c r="E1261" s="1"/>
      <c r="H1261" s="1"/>
    </row>
    <row r="1262" spans="1:8" ht="14.25" customHeight="1">
      <c r="A1262" s="1"/>
      <c r="B1262" s="1"/>
      <c r="C1262" s="1"/>
      <c r="D1262" s="1"/>
      <c r="E1262" s="1"/>
      <c r="H1262" s="1"/>
    </row>
    <row r="1263" spans="1:8" ht="14.25" customHeight="1">
      <c r="A1263" s="1"/>
      <c r="B1263" s="1"/>
      <c r="C1263" s="1"/>
      <c r="D1263" s="1"/>
      <c r="E1263" s="1"/>
      <c r="H1263" s="1"/>
    </row>
    <row r="1264" spans="1:8" ht="14.25" customHeight="1">
      <c r="A1264" s="1"/>
      <c r="B1264" s="1"/>
      <c r="C1264" s="1"/>
      <c r="D1264" s="1"/>
      <c r="E1264" s="1"/>
      <c r="H1264" s="1"/>
    </row>
    <row r="1265" spans="1:8" ht="14.25" customHeight="1">
      <c r="A1265" s="1"/>
      <c r="B1265" s="1"/>
      <c r="C1265" s="1"/>
      <c r="D1265" s="1"/>
      <c r="E1265" s="1"/>
      <c r="H1265" s="1"/>
    </row>
    <row r="1266" spans="1:8" ht="14.25" customHeight="1">
      <c r="A1266" s="1"/>
      <c r="B1266" s="1"/>
      <c r="C1266" s="1"/>
      <c r="D1266" s="1"/>
      <c r="E1266" s="1"/>
      <c r="H1266" s="1"/>
    </row>
    <row r="1267" spans="1:8" ht="14.25" customHeight="1">
      <c r="A1267" s="1"/>
      <c r="B1267" s="1"/>
      <c r="C1267" s="1"/>
      <c r="D1267" s="1"/>
      <c r="E1267" s="1"/>
      <c r="H1267" s="1"/>
    </row>
    <row r="1268" spans="1:5" ht="14.25" customHeight="1">
      <c r="A1268" s="1"/>
      <c r="B1268" s="1"/>
      <c r="C1268" s="1"/>
      <c r="D1268" s="1"/>
      <c r="E1268" s="1"/>
    </row>
    <row r="1269" spans="1:5" ht="14.25" customHeight="1">
      <c r="A1269" s="1"/>
      <c r="B1269" s="1"/>
      <c r="C1269" s="1"/>
      <c r="D1269" s="1"/>
      <c r="E1269" s="1"/>
    </row>
    <row r="1270" spans="1:5" ht="14.25" customHeight="1">
      <c r="A1270" s="1"/>
      <c r="B1270" s="1"/>
      <c r="C1270" s="1"/>
      <c r="D1270" s="1"/>
      <c r="E1270" s="1"/>
    </row>
    <row r="1271" spans="1:5" ht="14.25" customHeight="1">
      <c r="A1271" s="1"/>
      <c r="B1271" s="1"/>
      <c r="C1271" s="1"/>
      <c r="D1271" s="1"/>
      <c r="E1271" s="1"/>
    </row>
    <row r="1272" spans="1:5" ht="14.25" customHeight="1">
      <c r="A1272" s="1"/>
      <c r="B1272" s="1"/>
      <c r="C1272" s="1"/>
      <c r="D1272" s="1"/>
      <c r="E1272" s="1"/>
    </row>
    <row r="1273" spans="1:5" ht="14.25" customHeight="1">
      <c r="A1273" s="1"/>
      <c r="B1273" s="1"/>
      <c r="C1273" s="1"/>
      <c r="D1273" s="1"/>
      <c r="E1273" s="1"/>
    </row>
    <row r="1274" ht="14.25" customHeight="1"/>
    <row r="1275" ht="14.25" customHeight="1"/>
    <row r="1276" ht="14.25" customHeight="1"/>
    <row r="1277" ht="14.25" customHeight="1"/>
    <row r="1278" ht="19.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</sheetData>
  <sheetProtection/>
  <mergeCells count="633">
    <mergeCell ref="H1162:H1163"/>
    <mergeCell ref="A56:B56"/>
    <mergeCell ref="C8:D8"/>
    <mergeCell ref="C21:D21"/>
    <mergeCell ref="A8:B8"/>
    <mergeCell ref="A21:B21"/>
    <mergeCell ref="A23:B23"/>
    <mergeCell ref="A1161:B1161"/>
    <mergeCell ref="A1162:B1162"/>
    <mergeCell ref="A559:E559"/>
    <mergeCell ref="A1163:B1163"/>
    <mergeCell ref="T1163:X1163"/>
    <mergeCell ref="C37:D37"/>
    <mergeCell ref="A37:B37"/>
    <mergeCell ref="C45:D45"/>
    <mergeCell ref="C54:D54"/>
    <mergeCell ref="C56:D56"/>
    <mergeCell ref="A45:B45"/>
    <mergeCell ref="A1157:B1157"/>
    <mergeCell ref="A1158:B1159"/>
    <mergeCell ref="C1158:C1159"/>
    <mergeCell ref="H1157:H1158"/>
    <mergeCell ref="C785:C787"/>
    <mergeCell ref="A785:B787"/>
    <mergeCell ref="H889:H890"/>
    <mergeCell ref="A890:B890"/>
    <mergeCell ref="H1147:H1148"/>
    <mergeCell ref="H1152:H1153"/>
    <mergeCell ref="A1153:B1154"/>
    <mergeCell ref="C1153:C1154"/>
    <mergeCell ref="A1156:B1156"/>
    <mergeCell ref="C46:D46"/>
    <mergeCell ref="C47:D47"/>
    <mergeCell ref="A46:B46"/>
    <mergeCell ref="A47:B47"/>
    <mergeCell ref="A889:B889"/>
    <mergeCell ref="A54:B54"/>
    <mergeCell ref="A547:C547"/>
    <mergeCell ref="C1110:C1114"/>
    <mergeCell ref="A1110:B1114"/>
    <mergeCell ref="C22:D22"/>
    <mergeCell ref="A22:B22"/>
    <mergeCell ref="A24:B24"/>
    <mergeCell ref="C43:D43"/>
    <mergeCell ref="A488:E488"/>
    <mergeCell ref="C49:D49"/>
    <mergeCell ref="A49:B49"/>
    <mergeCell ref="C57:D57"/>
    <mergeCell ref="A57:B57"/>
    <mergeCell ref="A439:C439"/>
    <mergeCell ref="C1083:C1087"/>
    <mergeCell ref="A1083:B1087"/>
    <mergeCell ref="A1146:B1146"/>
    <mergeCell ref="A1147:B1147"/>
    <mergeCell ref="C1143:C1144"/>
    <mergeCell ref="A1104:B1104"/>
    <mergeCell ref="A1096:B1096"/>
    <mergeCell ref="A1097:B1097"/>
    <mergeCell ref="A1089:B1089"/>
    <mergeCell ref="C1091:C1094"/>
    <mergeCell ref="A1151:B1151"/>
    <mergeCell ref="A1152:B1152"/>
    <mergeCell ref="H1129:H1130"/>
    <mergeCell ref="H1137:H1138"/>
    <mergeCell ref="H1142:H1143"/>
    <mergeCell ref="A1141:B1141"/>
    <mergeCell ref="A1142:B1142"/>
    <mergeCell ref="A1143:B1144"/>
    <mergeCell ref="A1138:B1139"/>
    <mergeCell ref="C1138:C1139"/>
    <mergeCell ref="H1109:H1110"/>
    <mergeCell ref="H1006:H1007"/>
    <mergeCell ref="H1014:H1015"/>
    <mergeCell ref="H1025:H1026"/>
    <mergeCell ref="H1030:H1031"/>
    <mergeCell ref="H1035:H1036"/>
    <mergeCell ref="H1043:H1044"/>
    <mergeCell ref="H1070:H1071"/>
    <mergeCell ref="H1074:H1075"/>
    <mergeCell ref="H1122:H1123"/>
    <mergeCell ref="H1048:H1049"/>
    <mergeCell ref="H1053:H1054"/>
    <mergeCell ref="H1062:H1063"/>
    <mergeCell ref="H1066:H1067"/>
    <mergeCell ref="H1078:H1079"/>
    <mergeCell ref="H1082:H1083"/>
    <mergeCell ref="H1090:H1091"/>
    <mergeCell ref="H1097:H1098"/>
    <mergeCell ref="H1105:H1106"/>
    <mergeCell ref="H975:H976"/>
    <mergeCell ref="H832:H833"/>
    <mergeCell ref="H845:H846"/>
    <mergeCell ref="H852:H853"/>
    <mergeCell ref="H859:H860"/>
    <mergeCell ref="H1117:H1118"/>
    <mergeCell ref="H983:H984"/>
    <mergeCell ref="H988:H989"/>
    <mergeCell ref="H995:H996"/>
    <mergeCell ref="H1002:H1003"/>
    <mergeCell ref="H669:H670"/>
    <mergeCell ref="H675:H676"/>
    <mergeCell ref="H682:H683"/>
    <mergeCell ref="H690:H691"/>
    <mergeCell ref="H697:H698"/>
    <mergeCell ref="H966:H967"/>
    <mergeCell ref="H640:H641"/>
    <mergeCell ref="B611:C611"/>
    <mergeCell ref="B641:C644"/>
    <mergeCell ref="B623:C623"/>
    <mergeCell ref="B631:C631"/>
    <mergeCell ref="H661:H662"/>
    <mergeCell ref="A543:C543"/>
    <mergeCell ref="B632:C632"/>
    <mergeCell ref="H611:H612"/>
    <mergeCell ref="H618:H619"/>
    <mergeCell ref="H625:H626"/>
    <mergeCell ref="H632:H633"/>
    <mergeCell ref="A499:C499"/>
    <mergeCell ref="A913:B913"/>
    <mergeCell ref="C912:D912"/>
    <mergeCell ref="A912:B912"/>
    <mergeCell ref="A766:B766"/>
    <mergeCell ref="A767:B768"/>
    <mergeCell ref="A561:C561"/>
    <mergeCell ref="A565:C565"/>
    <mergeCell ref="A541:E541"/>
    <mergeCell ref="C756:C757"/>
    <mergeCell ref="A458:E458"/>
    <mergeCell ref="A460:C460"/>
    <mergeCell ref="A464:C464"/>
    <mergeCell ref="A475:E475"/>
    <mergeCell ref="A477:C477"/>
    <mergeCell ref="A727:A730"/>
    <mergeCell ref="A520:C520"/>
    <mergeCell ref="B697:C697"/>
    <mergeCell ref="A593:C593"/>
    <mergeCell ref="A490:C490"/>
    <mergeCell ref="C26:D26"/>
    <mergeCell ref="A26:B26"/>
    <mergeCell ref="C797:C798"/>
    <mergeCell ref="A797:B798"/>
    <mergeCell ref="C833:C842"/>
    <mergeCell ref="A833:B842"/>
    <mergeCell ref="A424:E424"/>
    <mergeCell ref="A426:C426"/>
    <mergeCell ref="A433:C433"/>
    <mergeCell ref="B719:C719"/>
    <mergeCell ref="A410:E410"/>
    <mergeCell ref="C1049:C1050"/>
    <mergeCell ref="A1049:B1050"/>
    <mergeCell ref="A883:B883"/>
    <mergeCell ref="A884:B886"/>
    <mergeCell ref="C884:C886"/>
    <mergeCell ref="A450:C450"/>
    <mergeCell ref="C747:C748"/>
    <mergeCell ref="A914:B914"/>
    <mergeCell ref="B618:C618"/>
    <mergeCell ref="A734:A737"/>
    <mergeCell ref="B640:C640"/>
    <mergeCell ref="A670:A672"/>
    <mergeCell ref="B713:C713"/>
    <mergeCell ref="B691:C694"/>
    <mergeCell ref="B648:C651"/>
    <mergeCell ref="A648:A651"/>
    <mergeCell ref="B734:C737"/>
    <mergeCell ref="B733:C733"/>
    <mergeCell ref="A655:A658"/>
    <mergeCell ref="A412:C412"/>
    <mergeCell ref="A415:C415"/>
    <mergeCell ref="A306:C306"/>
    <mergeCell ref="A662:A666"/>
    <mergeCell ref="A444:E444"/>
    <mergeCell ref="A446:C446"/>
    <mergeCell ref="A357:C357"/>
    <mergeCell ref="A370:C370"/>
    <mergeCell ref="B624:C624"/>
    <mergeCell ref="A518:E518"/>
    <mergeCell ref="A218:C218"/>
    <mergeCell ref="A760:B760"/>
    <mergeCell ref="A751:B751"/>
    <mergeCell ref="A698:A701"/>
    <mergeCell ref="B682:C682"/>
    <mergeCell ref="A691:A694"/>
    <mergeCell ref="A314:C314"/>
    <mergeCell ref="C742:C743"/>
    <mergeCell ref="B720:C720"/>
    <mergeCell ref="A633:A637"/>
    <mergeCell ref="A274:C274"/>
    <mergeCell ref="C31:D31"/>
    <mergeCell ref="A31:B31"/>
    <mergeCell ref="C901:D901"/>
    <mergeCell ref="B938:C938"/>
    <mergeCell ref="A267:C267"/>
    <mergeCell ref="A641:A644"/>
    <mergeCell ref="A776:B781"/>
    <mergeCell ref="A43:B43"/>
    <mergeCell ref="A761:B763"/>
    <mergeCell ref="A790:B790"/>
    <mergeCell ref="A252:C252"/>
    <mergeCell ref="A351:E351"/>
    <mergeCell ref="A353:C353"/>
    <mergeCell ref="A312:E312"/>
    <mergeCell ref="A285:E285"/>
    <mergeCell ref="A279:C279"/>
    <mergeCell ref="A290:C290"/>
    <mergeCell ref="A299:E299"/>
    <mergeCell ref="A301:C301"/>
    <mergeCell ref="A784:B784"/>
    <mergeCell ref="A765:B765"/>
    <mergeCell ref="A755:B755"/>
    <mergeCell ref="A769:B769"/>
    <mergeCell ref="C767:C768"/>
    <mergeCell ref="A771:B771"/>
    <mergeCell ref="A756:B757"/>
    <mergeCell ref="A1047:B1047"/>
    <mergeCell ref="A770:B770"/>
    <mergeCell ref="C914:D914"/>
    <mergeCell ref="A1014:B1014"/>
    <mergeCell ref="A1030:B1030"/>
    <mergeCell ref="A996:B999"/>
    <mergeCell ref="A877:B880"/>
    <mergeCell ref="C877:C880"/>
    <mergeCell ref="C1007:C1011"/>
    <mergeCell ref="A1007:B1011"/>
    <mergeCell ref="C989:C992"/>
    <mergeCell ref="A983:B983"/>
    <mergeCell ref="A1048:B1048"/>
    <mergeCell ref="A1044:B1045"/>
    <mergeCell ref="A1028:B1028"/>
    <mergeCell ref="A1025:B1025"/>
    <mergeCell ref="A1026:B1027"/>
    <mergeCell ref="A1034:B1034"/>
    <mergeCell ref="A1036:B1040"/>
    <mergeCell ref="A1042:B1042"/>
    <mergeCell ref="A986:B986"/>
    <mergeCell ref="A989:B992"/>
    <mergeCell ref="A984:B985"/>
    <mergeCell ref="A987:B987"/>
    <mergeCell ref="A1002:B1002"/>
    <mergeCell ref="A1001:B1001"/>
    <mergeCell ref="A1064:B1064"/>
    <mergeCell ref="A1063:B1063"/>
    <mergeCell ref="A1079:B1079"/>
    <mergeCell ref="A1077:B1077"/>
    <mergeCell ref="A1068:B1068"/>
    <mergeCell ref="A1074:B1074"/>
    <mergeCell ref="A1070:B1070"/>
    <mergeCell ref="A1075:B1075"/>
    <mergeCell ref="A1069:B1069"/>
    <mergeCell ref="A1066:B1066"/>
    <mergeCell ref="A1067:B1067"/>
    <mergeCell ref="A1065:B1065"/>
    <mergeCell ref="A1072:B1072"/>
    <mergeCell ref="A1073:B1073"/>
    <mergeCell ref="A1071:B1071"/>
    <mergeCell ref="A1098:B1102"/>
    <mergeCell ref="C1098:C1102"/>
    <mergeCell ref="A1091:B1094"/>
    <mergeCell ref="A1053:B1053"/>
    <mergeCell ref="A1054:B1059"/>
    <mergeCell ref="A1061:B1061"/>
    <mergeCell ref="A1078:B1078"/>
    <mergeCell ref="A1062:B1062"/>
    <mergeCell ref="C1054:C1059"/>
    <mergeCell ref="A1076:B1076"/>
    <mergeCell ref="A1081:B1081"/>
    <mergeCell ref="A1052:B1052"/>
    <mergeCell ref="C1044:C1045"/>
    <mergeCell ref="A1031:B1032"/>
    <mergeCell ref="H713:H714"/>
    <mergeCell ref="H720:H721"/>
    <mergeCell ref="H726:H727"/>
    <mergeCell ref="H733:H734"/>
    <mergeCell ref="H741:H742"/>
    <mergeCell ref="A908:B908"/>
    <mergeCell ref="C1031:C1032"/>
    <mergeCell ref="C1026:C1027"/>
    <mergeCell ref="H704:H705"/>
    <mergeCell ref="H746:H747"/>
    <mergeCell ref="H751:H752"/>
    <mergeCell ref="H755:H756"/>
    <mergeCell ref="H760:H761"/>
    <mergeCell ref="A917:E917"/>
    <mergeCell ref="C996:C999"/>
    <mergeCell ref="A907:B907"/>
    <mergeCell ref="C984:C985"/>
    <mergeCell ref="C39:D39"/>
    <mergeCell ref="B633:C637"/>
    <mergeCell ref="A626:A629"/>
    <mergeCell ref="C40:D40"/>
    <mergeCell ref="A222:C222"/>
    <mergeCell ref="A232:C232"/>
    <mergeCell ref="A257:C257"/>
    <mergeCell ref="A245:C245"/>
    <mergeCell ref="A319:C319"/>
    <mergeCell ref="A326:C326"/>
    <mergeCell ref="A63:E63"/>
    <mergeCell ref="A65:C65"/>
    <mergeCell ref="A137:C137"/>
    <mergeCell ref="A216:E216"/>
    <mergeCell ref="A176:C176"/>
    <mergeCell ref="A205:C205"/>
    <mergeCell ref="A156:E156"/>
    <mergeCell ref="A158:C158"/>
    <mergeCell ref="A163:C163"/>
    <mergeCell ref="A203:E203"/>
    <mergeCell ref="A38:B38"/>
    <mergeCell ref="C50:D50"/>
    <mergeCell ref="A120:E120"/>
    <mergeCell ref="A106:E106"/>
    <mergeCell ref="A80:E80"/>
    <mergeCell ref="A60:E60"/>
    <mergeCell ref="A51:B51"/>
    <mergeCell ref="A100:C100"/>
    <mergeCell ref="C38:D38"/>
    <mergeCell ref="C58:D58"/>
    <mergeCell ref="D33:E33"/>
    <mergeCell ref="A18:B18"/>
    <mergeCell ref="C19:D19"/>
    <mergeCell ref="A19:B19"/>
    <mergeCell ref="C27:D27"/>
    <mergeCell ref="C20:D20"/>
    <mergeCell ref="C18:D18"/>
    <mergeCell ref="A20:B20"/>
    <mergeCell ref="C23:D23"/>
    <mergeCell ref="C24:D24"/>
    <mergeCell ref="A13:B13"/>
    <mergeCell ref="C15:D15"/>
    <mergeCell ref="A15:B15"/>
    <mergeCell ref="C16:D16"/>
    <mergeCell ref="A17:B17"/>
    <mergeCell ref="C12:D12"/>
    <mergeCell ref="C14:D14"/>
    <mergeCell ref="A16:B16"/>
    <mergeCell ref="C32:D32"/>
    <mergeCell ref="C17:D17"/>
    <mergeCell ref="C13:D13"/>
    <mergeCell ref="A7:B7"/>
    <mergeCell ref="C11:D11"/>
    <mergeCell ref="C7:D7"/>
    <mergeCell ref="C9:D9"/>
    <mergeCell ref="C25:D25"/>
    <mergeCell ref="A25:B25"/>
    <mergeCell ref="A11:B11"/>
    <mergeCell ref="A50:B50"/>
    <mergeCell ref="A61:E61"/>
    <mergeCell ref="A35:B35"/>
    <mergeCell ref="A27:B27"/>
    <mergeCell ref="A12:B12"/>
    <mergeCell ref="A14:B14"/>
    <mergeCell ref="A29:D29"/>
    <mergeCell ref="A30:B30"/>
    <mergeCell ref="C30:D30"/>
    <mergeCell ref="A32:B32"/>
    <mergeCell ref="A39:B39"/>
    <mergeCell ref="A48:B48"/>
    <mergeCell ref="C44:D44"/>
    <mergeCell ref="A40:B40"/>
    <mergeCell ref="C42:D42"/>
    <mergeCell ref="A44:B44"/>
    <mergeCell ref="C48:D48"/>
    <mergeCell ref="A42:B42"/>
    <mergeCell ref="C41:D41"/>
    <mergeCell ref="A41:B41"/>
    <mergeCell ref="A58:B58"/>
    <mergeCell ref="A34:D34"/>
    <mergeCell ref="A676:A679"/>
    <mergeCell ref="C36:D36"/>
    <mergeCell ref="B698:C701"/>
    <mergeCell ref="A746:B746"/>
    <mergeCell ref="C35:D35"/>
    <mergeCell ref="A36:B36"/>
    <mergeCell ref="A59:E59"/>
    <mergeCell ref="C51:D51"/>
    <mergeCell ref="C6:D6"/>
    <mergeCell ref="A6:B6"/>
    <mergeCell ref="A10:B10"/>
    <mergeCell ref="C10:D10"/>
    <mergeCell ref="A1:E1"/>
    <mergeCell ref="A2:C2"/>
    <mergeCell ref="A4:E4"/>
    <mergeCell ref="A3:C3"/>
    <mergeCell ref="A5:D5"/>
    <mergeCell ref="A9:B9"/>
    <mergeCell ref="A1013:B1013"/>
    <mergeCell ref="A959:B959"/>
    <mergeCell ref="B920:C920"/>
    <mergeCell ref="B936:C936"/>
    <mergeCell ref="B926:C926"/>
    <mergeCell ref="B941:C941"/>
    <mergeCell ref="C960:C963"/>
    <mergeCell ref="B927:C927"/>
    <mergeCell ref="A946:E946"/>
    <mergeCell ref="A965:B965"/>
    <mergeCell ref="C811:C815"/>
    <mergeCell ref="A901:B901"/>
    <mergeCell ref="A896:E896"/>
    <mergeCell ref="A904:B904"/>
    <mergeCell ref="C899:D899"/>
    <mergeCell ref="C903:D903"/>
    <mergeCell ref="A899:B899"/>
    <mergeCell ref="C898:D898"/>
    <mergeCell ref="A876:B876"/>
    <mergeCell ref="B921:C921"/>
    <mergeCell ref="A974:B974"/>
    <mergeCell ref="A960:B963"/>
    <mergeCell ref="A955:E955"/>
    <mergeCell ref="A948:E948"/>
    <mergeCell ref="A944:E944"/>
    <mergeCell ref="C967:C972"/>
    <mergeCell ref="A1035:B1035"/>
    <mergeCell ref="A1029:B1029"/>
    <mergeCell ref="A994:B994"/>
    <mergeCell ref="A967:B972"/>
    <mergeCell ref="A1033:B1033"/>
    <mergeCell ref="A988:B988"/>
    <mergeCell ref="A976:B980"/>
    <mergeCell ref="A975:B975"/>
    <mergeCell ref="A995:B995"/>
    <mergeCell ref="A1003:B1003"/>
    <mergeCell ref="A982:B982"/>
    <mergeCell ref="A954:E954"/>
    <mergeCell ref="A919:E919"/>
    <mergeCell ref="C907:D907"/>
    <mergeCell ref="A966:B966"/>
    <mergeCell ref="B924:C924"/>
    <mergeCell ref="B929:C929"/>
    <mergeCell ref="A964:B964"/>
    <mergeCell ref="C976:C980"/>
    <mergeCell ref="B923:C923"/>
    <mergeCell ref="A802:B802"/>
    <mergeCell ref="A805:B805"/>
    <mergeCell ref="A824:B824"/>
    <mergeCell ref="A852:B852"/>
    <mergeCell ref="A791:B793"/>
    <mergeCell ref="A796:B796"/>
    <mergeCell ref="A811:B815"/>
    <mergeCell ref="A819:B821"/>
    <mergeCell ref="C902:D902"/>
    <mergeCell ref="A902:B902"/>
    <mergeCell ref="A900:B900"/>
    <mergeCell ref="A906:B906"/>
    <mergeCell ref="A905:B905"/>
    <mergeCell ref="C904:D904"/>
    <mergeCell ref="A903:B903"/>
    <mergeCell ref="C905:D905"/>
    <mergeCell ref="C900:D900"/>
    <mergeCell ref="C909:D909"/>
    <mergeCell ref="A909:B909"/>
    <mergeCell ref="B939:C939"/>
    <mergeCell ref="H959:H960"/>
    <mergeCell ref="B935:C935"/>
    <mergeCell ref="C911:D911"/>
    <mergeCell ref="A911:B911"/>
    <mergeCell ref="B933:C933"/>
    <mergeCell ref="B932:C932"/>
    <mergeCell ref="B942:C942"/>
    <mergeCell ref="Q762:U763"/>
    <mergeCell ref="A915:B915"/>
    <mergeCell ref="A772:B772"/>
    <mergeCell ref="A818:B818"/>
    <mergeCell ref="A898:B898"/>
    <mergeCell ref="C908:D908"/>
    <mergeCell ref="H766:H767"/>
    <mergeCell ref="A860:B863"/>
    <mergeCell ref="A775:B775"/>
    <mergeCell ref="H893:H894"/>
    <mergeCell ref="Q957:T957"/>
    <mergeCell ref="H805:H806"/>
    <mergeCell ref="H818:H819"/>
    <mergeCell ref="C846:C849"/>
    <mergeCell ref="H801:H802"/>
    <mergeCell ref="C897:D897"/>
    <mergeCell ref="C913:D913"/>
    <mergeCell ref="H876:H877"/>
    <mergeCell ref="H883:H884"/>
    <mergeCell ref="B930:C930"/>
    <mergeCell ref="H775:H776"/>
    <mergeCell ref="H784:H785"/>
    <mergeCell ref="H790:H791"/>
    <mergeCell ref="H796:H797"/>
    <mergeCell ref="H824:H825"/>
    <mergeCell ref="H810:H811"/>
    <mergeCell ref="H647:H648"/>
    <mergeCell ref="A742:B743"/>
    <mergeCell ref="A714:A717"/>
    <mergeCell ref="A741:B741"/>
    <mergeCell ref="B676:C679"/>
    <mergeCell ref="A845:B845"/>
    <mergeCell ref="C791:C793"/>
    <mergeCell ref="A752:B752"/>
    <mergeCell ref="B727:C730"/>
    <mergeCell ref="B726:C726"/>
    <mergeCell ref="B675:C675"/>
    <mergeCell ref="H871:H872"/>
    <mergeCell ref="B721:C723"/>
    <mergeCell ref="B705:C710"/>
    <mergeCell ref="B690:C690"/>
    <mergeCell ref="B714:C717"/>
    <mergeCell ref="A747:B748"/>
    <mergeCell ref="C776:C781"/>
    <mergeCell ref="A832:B832"/>
    <mergeCell ref="H771:H772"/>
    <mergeCell ref="A141:C141"/>
    <mergeCell ref="A183:E183"/>
    <mergeCell ref="H654:H655"/>
    <mergeCell ref="A683:A687"/>
    <mergeCell ref="B683:C687"/>
    <mergeCell ref="B619:C622"/>
    <mergeCell ref="A619:A622"/>
    <mergeCell ref="B662:C666"/>
    <mergeCell ref="B655:C658"/>
    <mergeCell ref="A264:C264"/>
    <mergeCell ref="A185:C185"/>
    <mergeCell ref="A191:C191"/>
    <mergeCell ref="A230:E230"/>
    <mergeCell ref="B669:C669"/>
    <mergeCell ref="B647:C647"/>
    <mergeCell ref="B612:C615"/>
    <mergeCell ref="B661:C661"/>
    <mergeCell ref="A250:E250"/>
    <mergeCell ref="A511:C511"/>
    <mergeCell ref="A237:C237"/>
    <mergeCell ref="A957:E957"/>
    <mergeCell ref="A867:B868"/>
    <mergeCell ref="C867:C868"/>
    <mergeCell ref="A82:C82"/>
    <mergeCell ref="A85:C85"/>
    <mergeCell ref="A122:C122"/>
    <mergeCell ref="A96:C96"/>
    <mergeCell ref="A272:E272"/>
    <mergeCell ref="A135:E135"/>
    <mergeCell ref="A170:E170"/>
    <mergeCell ref="A1117:B1117"/>
    <mergeCell ref="A1109:B1109"/>
    <mergeCell ref="A1121:B1121"/>
    <mergeCell ref="A1116:B1116"/>
    <mergeCell ref="A1118:B1119"/>
    <mergeCell ref="A172:C172"/>
    <mergeCell ref="A1043:B1043"/>
    <mergeCell ref="A1108:B1108"/>
    <mergeCell ref="A810:B810"/>
    <mergeCell ref="C1036:C1040"/>
    <mergeCell ref="A331:E331"/>
    <mergeCell ref="A333:C333"/>
    <mergeCell ref="A1082:B1082"/>
    <mergeCell ref="A1106:B1106"/>
    <mergeCell ref="A871:B871"/>
    <mergeCell ref="A504:E504"/>
    <mergeCell ref="A609:C609"/>
    <mergeCell ref="A1006:B1006"/>
    <mergeCell ref="C1015:C1022"/>
    <mergeCell ref="A1015:B1022"/>
    <mergeCell ref="C910:D910"/>
    <mergeCell ref="A910:B910"/>
    <mergeCell ref="C906:D906"/>
    <mergeCell ref="A1128:B1128"/>
    <mergeCell ref="A1129:B1129"/>
    <mergeCell ref="A859:B859"/>
    <mergeCell ref="C1118:C1119"/>
    <mergeCell ref="C1123:C1126"/>
    <mergeCell ref="A1123:B1126"/>
    <mergeCell ref="A1122:B1122"/>
    <mergeCell ref="C52:D52"/>
    <mergeCell ref="A52:B52"/>
    <mergeCell ref="A801:B801"/>
    <mergeCell ref="A94:E94"/>
    <mergeCell ref="A112:C112"/>
    <mergeCell ref="A1136:B1136"/>
    <mergeCell ref="C872:C873"/>
    <mergeCell ref="A1090:B1090"/>
    <mergeCell ref="A1088:B1088"/>
    <mergeCell ref="A1105:B1105"/>
    <mergeCell ref="H866:H867"/>
    <mergeCell ref="A612:A615"/>
    <mergeCell ref="B654:C654"/>
    <mergeCell ref="B670:C672"/>
    <mergeCell ref="B617:C617"/>
    <mergeCell ref="C825:C829"/>
    <mergeCell ref="A721:A723"/>
    <mergeCell ref="A853:B856"/>
    <mergeCell ref="C761:C763"/>
    <mergeCell ref="B704:C704"/>
    <mergeCell ref="C53:D53"/>
    <mergeCell ref="A53:B53"/>
    <mergeCell ref="A419:C419"/>
    <mergeCell ref="A55:B55"/>
    <mergeCell ref="C55:D55"/>
    <mergeCell ref="A506:C506"/>
    <mergeCell ref="A367:C367"/>
    <mergeCell ref="A287:C287"/>
    <mergeCell ref="A402:C402"/>
    <mergeCell ref="A346:C346"/>
    <mergeCell ref="A336:C336"/>
    <mergeCell ref="B625:C625"/>
    <mergeCell ref="A825:B829"/>
    <mergeCell ref="A524:C524"/>
    <mergeCell ref="A536:C536"/>
    <mergeCell ref="B626:C629"/>
    <mergeCell ref="A573:E573"/>
    <mergeCell ref="A575:C575"/>
    <mergeCell ref="A591:E591"/>
    <mergeCell ref="A392:C392"/>
    <mergeCell ref="C1148:C1149"/>
    <mergeCell ref="A1148:B1149"/>
    <mergeCell ref="A866:B866"/>
    <mergeCell ref="A705:A710"/>
    <mergeCell ref="A846:B849"/>
    <mergeCell ref="C860:C863"/>
    <mergeCell ref="A1137:B1137"/>
    <mergeCell ref="C1130:C1134"/>
    <mergeCell ref="A1130:B1134"/>
    <mergeCell ref="A897:B897"/>
    <mergeCell ref="A108:C108"/>
    <mergeCell ref="A375:E375"/>
    <mergeCell ref="A377:C377"/>
    <mergeCell ref="A384:C384"/>
    <mergeCell ref="A397:E397"/>
    <mergeCell ref="A399:C399"/>
    <mergeCell ref="A150:C150"/>
    <mergeCell ref="A127:C127"/>
    <mergeCell ref="A209:C209"/>
    <mergeCell ref="A148:E148"/>
    <mergeCell ref="A893:B893"/>
    <mergeCell ref="A894:B894"/>
    <mergeCell ref="C806:C807"/>
    <mergeCell ref="A806:B807"/>
    <mergeCell ref="A808:B808"/>
    <mergeCell ref="A809:B809"/>
    <mergeCell ref="A872:B873"/>
    <mergeCell ref="A844:B844"/>
    <mergeCell ref="C853:C856"/>
    <mergeCell ref="C819:C821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16" manualBreakCount="16">
    <brk id="58" max="4" man="1"/>
    <brk id="118" max="4" man="1"/>
    <brk id="181" max="4" man="1"/>
    <brk id="244" max="4" man="1"/>
    <brk id="305" max="4" man="1"/>
    <brk id="366" max="4" man="1"/>
    <brk id="432" max="4" man="1"/>
    <brk id="486" max="4" man="1"/>
    <brk id="546" max="4" man="1"/>
    <brk id="615" max="4" man="1"/>
    <brk id="694" max="4" man="1"/>
    <brk id="772" max="4" man="1"/>
    <brk id="849" max="4" man="1"/>
    <brk id="930" max="4" man="1"/>
    <brk id="1003" max="4" man="1"/>
    <brk id="10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93" zoomScaleSheetLayoutView="93" zoomScalePageLayoutView="0" workbookViewId="0" topLeftCell="A1">
      <selection activeCell="C6" sqref="C6"/>
    </sheetView>
  </sheetViews>
  <sheetFormatPr defaultColWidth="9.140625" defaultRowHeight="12.75"/>
  <cols>
    <col min="1" max="1" width="23.140625" style="0" customWidth="1"/>
    <col min="2" max="2" width="69.8515625" style="25" customWidth="1"/>
    <col min="3" max="3" width="24.8515625" style="0" customWidth="1"/>
    <col min="4" max="4" width="9.140625" style="0" hidden="1" customWidth="1"/>
    <col min="5" max="5" width="119.7109375" style="0" customWidth="1"/>
  </cols>
  <sheetData>
    <row r="1" spans="1:3" ht="18">
      <c r="A1" s="351" t="s">
        <v>84</v>
      </c>
      <c r="B1" s="351"/>
      <c r="C1" s="351"/>
    </row>
    <row r="2" spans="1:2" ht="12.75">
      <c r="A2" s="30" t="str">
        <f>scrap!A2</f>
        <v>E - Auction Notice No. -</v>
      </c>
      <c r="B2" s="29" t="str">
        <f>scrap!D2</f>
        <v>EA-65 /PTA-2023-24</v>
      </c>
    </row>
    <row r="3" spans="1:2" ht="12.75">
      <c r="A3" s="30" t="str">
        <f>scrap!A3</f>
        <v>Date of Auction -</v>
      </c>
      <c r="B3" s="29" t="str">
        <f>scrap!D3</f>
        <v>23.01.2024</v>
      </c>
    </row>
    <row r="4" spans="1:2" ht="12.75">
      <c r="A4" s="30"/>
      <c r="B4" s="29"/>
    </row>
    <row r="5" spans="1:3" s="26" customFormat="1" ht="20.25" customHeight="1">
      <c r="A5" s="79" t="s">
        <v>5</v>
      </c>
      <c r="B5" s="157" t="s">
        <v>81</v>
      </c>
      <c r="C5" s="156" t="s">
        <v>82</v>
      </c>
    </row>
    <row r="6" spans="1:5" s="26" customFormat="1" ht="20.25" customHeight="1">
      <c r="A6" s="86" t="s">
        <v>711</v>
      </c>
      <c r="B6" s="161" t="s">
        <v>160</v>
      </c>
      <c r="C6" s="238">
        <v>343</v>
      </c>
      <c r="D6" s="26">
        <v>228</v>
      </c>
      <c r="E6" s="103" t="str">
        <f aca="true" t="shared" si="0" ref="E6:E16">CONCATENATE("E-Waste Scrap (Meter scrap), Lying at ",B6,". Quantity in Kg - ",C6,)</f>
        <v>E-Waste Scrap (Meter scrap), Lying at ME LAB PATIALA (Crushed Meter Scrap/E-Waste). Quantity in Kg - 343</v>
      </c>
    </row>
    <row r="7" spans="1:5" s="26" customFormat="1" ht="20.25" customHeight="1">
      <c r="A7" s="86" t="s">
        <v>274</v>
      </c>
      <c r="B7" s="106" t="s">
        <v>152</v>
      </c>
      <c r="C7" s="46">
        <v>1025</v>
      </c>
      <c r="E7" s="103" t="str">
        <f t="shared" si="0"/>
        <v>E-Waste Scrap (Meter scrap), Lying at ME LAB SANGRUR (Crushed Meter Scrap/E-Waste). Quantity in Kg - 1025</v>
      </c>
    </row>
    <row r="8" spans="1:5" s="26" customFormat="1" ht="20.25" customHeight="1">
      <c r="A8" s="86" t="s">
        <v>275</v>
      </c>
      <c r="B8" s="106" t="s">
        <v>153</v>
      </c>
      <c r="C8" s="46">
        <v>139</v>
      </c>
      <c r="E8" s="103" t="str">
        <f t="shared" si="0"/>
        <v>E-Waste Scrap (Meter scrap), Lying at ME LAB ROPAR (Crushed Meter Scrap/E-Waste). Quantity in Kg - 139</v>
      </c>
    </row>
    <row r="9" spans="1:5" s="26" customFormat="1" ht="20.25" customHeight="1">
      <c r="A9" s="86" t="s">
        <v>276</v>
      </c>
      <c r="B9" s="106" t="s">
        <v>272</v>
      </c>
      <c r="C9" s="46">
        <v>625.39</v>
      </c>
      <c r="E9" s="103" t="str">
        <f t="shared" si="0"/>
        <v>E-Waste Scrap (Meter scrap), Lying at ME LAB MOGA (Crushed Meter Scrap/E-Waste). Quantity in Kg - 625.39</v>
      </c>
    </row>
    <row r="10" spans="1:5" s="26" customFormat="1" ht="20.25" customHeight="1">
      <c r="A10" s="86" t="s">
        <v>277</v>
      </c>
      <c r="B10" s="106" t="s">
        <v>273</v>
      </c>
      <c r="C10" s="46">
        <v>1364.12</v>
      </c>
      <c r="E10" s="103" t="str">
        <f t="shared" si="0"/>
        <v>E-Waste Scrap (Meter scrap), Lying at ME LAB SHRI MUKTSAR SAHIB (Crushed Meter Scrap/E-Waste). Quantity in Kg - 1364.12</v>
      </c>
    </row>
    <row r="11" spans="1:5" s="26" customFormat="1" ht="20.25" customHeight="1">
      <c r="A11" s="86" t="s">
        <v>278</v>
      </c>
      <c r="B11" s="255" t="s">
        <v>328</v>
      </c>
      <c r="C11" s="162">
        <v>2936.865</v>
      </c>
      <c r="D11" s="135">
        <v>2663.065</v>
      </c>
      <c r="E11" s="103" t="str">
        <f t="shared" si="0"/>
        <v>E-Waste Scrap (Meter scrap), Lying at ME LAB SHRI MUKSAR SAHIB  (Electronic Meter Scrap/E-Waste )  . Quantity in Kg - 2936.865</v>
      </c>
    </row>
    <row r="12" spans="1:5" s="26" customFormat="1" ht="20.25" customHeight="1">
      <c r="A12" s="86" t="s">
        <v>329</v>
      </c>
      <c r="B12" s="108" t="s">
        <v>442</v>
      </c>
      <c r="C12" s="73">
        <v>3870</v>
      </c>
      <c r="D12" s="148"/>
      <c r="E12" s="103" t="str">
        <f t="shared" si="0"/>
        <v>E-Waste Scrap (Meter scrap), Lying at ME LAB SANGRUR  (Electronic Meter Scrap/E-Waste )  . Quantity in Kg - 3870</v>
      </c>
    </row>
    <row r="13" spans="1:5" s="26" customFormat="1" ht="20.25" customHeight="1">
      <c r="A13" s="86" t="s">
        <v>432</v>
      </c>
      <c r="B13" s="108" t="s">
        <v>443</v>
      </c>
      <c r="C13" s="73">
        <v>855</v>
      </c>
      <c r="D13" s="148"/>
      <c r="E13" s="103" t="str">
        <f t="shared" si="0"/>
        <v>E-Waste Scrap (Meter scrap), Lying at ME LAB ROPAR  (Electronic Meter Scrap/E-Waste )  . Quantity in Kg - 855</v>
      </c>
    </row>
    <row r="14" spans="1:5" s="26" customFormat="1" ht="20.25" customHeight="1">
      <c r="A14" s="86" t="s">
        <v>433</v>
      </c>
      <c r="B14" s="255" t="s">
        <v>455</v>
      </c>
      <c r="C14" s="162">
        <v>645.45</v>
      </c>
      <c r="D14" s="148">
        <v>495.75</v>
      </c>
      <c r="E14" s="103" t="str">
        <f t="shared" si="0"/>
        <v>E-Waste Scrap (Meter scrap), Lying at ME LAB BATHINDA  (Electronic Meter Scrap/E-Waste )  . Quantity in Kg - 645.45</v>
      </c>
    </row>
    <row r="15" spans="1:5" s="26" customFormat="1" ht="20.25" customHeight="1">
      <c r="A15" s="86" t="s">
        <v>434</v>
      </c>
      <c r="B15" s="255" t="s">
        <v>456</v>
      </c>
      <c r="C15" s="162">
        <v>690.14</v>
      </c>
      <c r="D15" s="148">
        <v>421.592</v>
      </c>
      <c r="E15" s="103" t="str">
        <f t="shared" si="0"/>
        <v>E-Waste Scrap (Meter scrap), Lying at ME LAB MOGA (Electronic Meter Scrap/E-Waste )  . Quantity in Kg - 690.14</v>
      </c>
    </row>
    <row r="16" spans="1:5" s="26" customFormat="1" ht="20.25" customHeight="1">
      <c r="A16" s="86" t="s">
        <v>457</v>
      </c>
      <c r="B16" s="255" t="s">
        <v>673</v>
      </c>
      <c r="C16" s="162">
        <v>2380</v>
      </c>
      <c r="D16" s="148" t="s">
        <v>242</v>
      </c>
      <c r="E16" s="103" t="str">
        <f t="shared" si="0"/>
        <v>E-Waste Scrap (Meter scrap), Lying at ME LAB PATIALA (Electronic Meter Scrap/E-Waste )  . Quantity in Kg - 2380</v>
      </c>
    </row>
    <row r="17" spans="1:5" s="26" customFormat="1" ht="20.25" customHeight="1">
      <c r="A17" s="146"/>
      <c r="B17" s="85"/>
      <c r="C17" s="147"/>
      <c r="D17" s="148"/>
      <c r="E17" s="149"/>
    </row>
    <row r="18" spans="1:5" s="26" customFormat="1" ht="37.5" customHeight="1">
      <c r="A18" s="352" t="s">
        <v>386</v>
      </c>
      <c r="B18" s="352"/>
      <c r="C18" s="352"/>
      <c r="D18" s="150"/>
      <c r="E18" s="151"/>
    </row>
    <row r="19" spans="1:5" s="26" customFormat="1" ht="20.25" customHeight="1">
      <c r="A19" s="352"/>
      <c r="B19" s="352"/>
      <c r="C19" s="352"/>
      <c r="D19" s="151"/>
      <c r="E19" s="151"/>
    </row>
    <row r="20" spans="1:5" s="26" customFormat="1" ht="39.75" customHeight="1">
      <c r="A20" s="352"/>
      <c r="B20" s="352"/>
      <c r="C20" s="352"/>
      <c r="D20" s="148"/>
      <c r="E20" s="149"/>
    </row>
    <row r="21" spans="1:5" s="26" customFormat="1" ht="15" customHeight="1">
      <c r="A21" s="152"/>
      <c r="B21" s="155" t="s">
        <v>215</v>
      </c>
      <c r="C21" s="156" t="s">
        <v>385</v>
      </c>
      <c r="D21" s="148"/>
      <c r="E21" s="149"/>
    </row>
    <row r="22" spans="1:5" s="26" customFormat="1" ht="20.25" customHeight="1">
      <c r="A22" s="86" t="s">
        <v>458</v>
      </c>
      <c r="B22" s="108" t="s">
        <v>383</v>
      </c>
      <c r="C22" s="153">
        <v>1</v>
      </c>
      <c r="D22" s="135"/>
      <c r="E22" s="103" t="str">
        <f>CONCATENATE("E-Waste Scrap (U/S AC WINDOW), Lying at ",B22,". Quantity in No - ",C22,)</f>
        <v>E-Waste Scrap (U/S AC WINDOW), Lying at CS SANGRUR (U/S AC WINDOW). Quantity in No - 1</v>
      </c>
    </row>
    <row r="23" spans="1:5" s="26" customFormat="1" ht="20.25" customHeight="1">
      <c r="A23" s="86" t="s">
        <v>459</v>
      </c>
      <c r="B23" s="255" t="s">
        <v>384</v>
      </c>
      <c r="C23" s="258">
        <v>16</v>
      </c>
      <c r="D23" s="135">
        <v>14</v>
      </c>
      <c r="E23" s="103" t="str">
        <f>CONCATENATE("E-Waste Scrap (U/S AC WINDOW), Lying at ",B23,". Quantity in No - ",C23,)</f>
        <v>E-Waste Scrap (U/S AC WINDOW), Lying at CS PATIALA  (U/S AC WINDOW). Quantity in No - 16</v>
      </c>
    </row>
    <row r="24" spans="1:5" s="26" customFormat="1" ht="20.25" customHeight="1">
      <c r="A24" s="86" t="s">
        <v>460</v>
      </c>
      <c r="B24" s="255" t="s">
        <v>394</v>
      </c>
      <c r="C24" s="258">
        <v>19</v>
      </c>
      <c r="D24" s="135">
        <v>18</v>
      </c>
      <c r="E24" s="103" t="str">
        <f>CONCATENATE("E-Waste Scrap (U/S STABLIZERS), Lying at ",B24,". Quantity in No - ",C24,)</f>
        <v>E-Waste Scrap (U/S STABLIZERS), Lying at CS PATIALA  (U/S STABLIZERS). Quantity in No - 19</v>
      </c>
    </row>
    <row r="25" spans="1:5" s="26" customFormat="1" ht="20.25" customHeight="1">
      <c r="A25" s="86" t="s">
        <v>709</v>
      </c>
      <c r="B25" s="255" t="s">
        <v>708</v>
      </c>
      <c r="C25" s="258">
        <v>5</v>
      </c>
      <c r="D25" s="135" t="s">
        <v>242</v>
      </c>
      <c r="E25" s="103" t="str">
        <f>CONCATENATE("E-Waste Scrap (U/S AC SPLIT), Lying at ",B25,". Quantity in No - ",C25,)</f>
        <v>E-Waste Scrap (U/S AC SPLIT), Lying at CS PATIALA  (U/S AC SPLIT). Quantity in No - 5</v>
      </c>
    </row>
    <row r="26" spans="1:5" s="26" customFormat="1" ht="20.25" customHeight="1">
      <c r="A26" s="146"/>
      <c r="B26" s="160"/>
      <c r="C26" s="159"/>
      <c r="D26" s="148"/>
      <c r="E26" s="149"/>
    </row>
    <row r="27" spans="1:3" s="26" customFormat="1" ht="15" customHeight="1">
      <c r="A27" s="36"/>
      <c r="B27" s="37"/>
      <c r="C27" s="85"/>
    </row>
    <row r="28" spans="1:3" s="26" customFormat="1" ht="15.75">
      <c r="A28" s="31" t="s">
        <v>83</v>
      </c>
      <c r="B28" s="32" t="s">
        <v>87</v>
      </c>
      <c r="C28" s="33" t="s">
        <v>86</v>
      </c>
    </row>
    <row r="29" spans="1:3" s="26" customFormat="1" ht="15.75">
      <c r="A29" s="31" t="s">
        <v>85</v>
      </c>
      <c r="B29" s="31" t="s">
        <v>85</v>
      </c>
      <c r="C29" s="31" t="s">
        <v>85</v>
      </c>
    </row>
    <row r="30" spans="1:3" s="26" customFormat="1" ht="15">
      <c r="A30" s="27"/>
      <c r="B30" s="28"/>
      <c r="C30" s="27"/>
    </row>
  </sheetData>
  <sheetProtection/>
  <mergeCells count="2">
    <mergeCell ref="A1:C1"/>
    <mergeCell ref="A18:C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Administrator</cp:lastModifiedBy>
  <cp:lastPrinted>2024-01-19T10:40:05Z</cp:lastPrinted>
  <dcterms:created xsi:type="dcterms:W3CDTF">1996-10-14T23:33:28Z</dcterms:created>
  <dcterms:modified xsi:type="dcterms:W3CDTF">2024-01-19T10:48:18Z</dcterms:modified>
  <cp:category/>
  <cp:version/>
  <cp:contentType/>
  <cp:contentStatus/>
</cp:coreProperties>
</file>