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19200" windowHeight="6180" tabRatio="773" activeTab="0"/>
  </bookViews>
  <sheets>
    <sheet name="scrap" sheetId="1" r:id="rId1"/>
    <sheet name="E-WASTE" sheetId="2" r:id="rId2"/>
  </sheets>
  <definedNames>
    <definedName name="_xlnm.Print_Area" localSheetId="1">'E-WASTE'!$A$1:$C$28</definedName>
    <definedName name="_xlnm.Print_Area" localSheetId="0">'scrap'!$A$1:$E$938</definedName>
  </definedNames>
  <calcPr fullCalcOnLoad="1"/>
</workbook>
</file>

<file path=xl/sharedStrings.xml><?xml version="1.0" encoding="utf-8"?>
<sst xmlns="http://schemas.openxmlformats.org/spreadsheetml/2006/main" count="1569" uniqueCount="585">
  <si>
    <t>A - Aluminium Conductor Steel Reinforced Scrap</t>
  </si>
  <si>
    <t>Registration no. of Vehicle</t>
  </si>
  <si>
    <t>Type of vehicle/ Model</t>
  </si>
  <si>
    <t>Present Location of vehicle</t>
  </si>
  <si>
    <t>Name of the office to which it relates/ Phone no. of the person to be contacted.</t>
  </si>
  <si>
    <t>Lot No.</t>
  </si>
  <si>
    <t>Name of Store where material is lying</t>
  </si>
  <si>
    <t>Quantity in MT</t>
  </si>
  <si>
    <t>I) Misc. items scrap lying as per detail given:-</t>
  </si>
  <si>
    <t>E - Auction Notice No. -</t>
  </si>
  <si>
    <t>Date of Auction -</t>
  </si>
  <si>
    <t>H- Damaged Distribution Transformer's HT/LT Aluminium coils scrap with insulation</t>
  </si>
  <si>
    <t>B)- Damaged Distribution Transformer's HT/LT Aluminium coils scrap with insulation</t>
  </si>
  <si>
    <t>E)  Miscellaneous Iron scrap</t>
  </si>
  <si>
    <t>G.Total</t>
  </si>
  <si>
    <t>K- Damaged Distribution Transformer's HT/LT Aluminium coils scrap with insulation</t>
  </si>
  <si>
    <t>J) Aluminium Conductor Steel Reinforced Scrap</t>
  </si>
  <si>
    <t xml:space="preserve">Name of Store </t>
  </si>
  <si>
    <t>Description of material</t>
  </si>
  <si>
    <t>Pilot W/Shop Sri Muktsar Sahib</t>
  </si>
  <si>
    <t>MS iron scrap / GI scrap</t>
  </si>
  <si>
    <t>Lot no. E - 1</t>
  </si>
  <si>
    <t xml:space="preserve">D) Misc.  Cable scrap </t>
  </si>
  <si>
    <t>Brass scrap</t>
  </si>
  <si>
    <t>Misc. Aluminium scrap</t>
  </si>
  <si>
    <t xml:space="preserve"> Q  Miscellaneous Healthy parts/ Non ferrous scrap material</t>
  </si>
  <si>
    <t>Lot no. Q-3</t>
  </si>
  <si>
    <t>Iron scrap</t>
  </si>
  <si>
    <t>TRY Malerkotla</t>
  </si>
  <si>
    <t>MS iron scrap</t>
  </si>
  <si>
    <t>Lot no. E - 2</t>
  </si>
  <si>
    <t>Misc. Alumn. Scrap</t>
  </si>
  <si>
    <t>All Alumn. Conductor Scrap</t>
  </si>
  <si>
    <t>Lot no. E - 3</t>
  </si>
  <si>
    <t>Lot no. Q-1</t>
  </si>
  <si>
    <t>Lot no. D-1</t>
  </si>
  <si>
    <t>TRY Bathinda</t>
  </si>
  <si>
    <t>Burnt Cu scrap</t>
  </si>
  <si>
    <t>Lot no. Q-4</t>
  </si>
  <si>
    <t>Lot no. Q-6</t>
  </si>
  <si>
    <t>Lot no. Q-7</t>
  </si>
  <si>
    <t>Burnt Aluminium scrap</t>
  </si>
  <si>
    <t>TRY Ferozepur</t>
  </si>
  <si>
    <t>CS Kotkapura</t>
  </si>
  <si>
    <t>Lot no. Q-10</t>
  </si>
  <si>
    <t>Misc. Copper scrap</t>
  </si>
  <si>
    <t>OL store Ropar</t>
  </si>
  <si>
    <t>Burnt copper scrap</t>
  </si>
  <si>
    <t>Lot no. Q-5</t>
  </si>
  <si>
    <t>L)  Condemned/obsolete Vehicles * (Without RC )</t>
  </si>
  <si>
    <t xml:space="preserve">M-LOT -  Three phase Copper/ Aluminium and single phase copper/ Alu wound Damaged Distribution Transformers As Per Actual Site Condition </t>
  </si>
  <si>
    <t>Lot no. E - 4</t>
  </si>
  <si>
    <t>CS Patiala</t>
  </si>
  <si>
    <t>Lot no. Q-11</t>
  </si>
  <si>
    <t>Pilot Workshop Mohali</t>
  </si>
  <si>
    <t>HT Wire scrap &amp; other intermingled iron scrap</t>
  </si>
  <si>
    <t>MS iron scrap ( MS sections, scrapped T&amp;P etc)</t>
  </si>
  <si>
    <t>S &amp; T Store Bathinda</t>
  </si>
  <si>
    <t>Nuts &amp; Bolts scrap</t>
  </si>
  <si>
    <t>OL Mansa</t>
  </si>
  <si>
    <t>Transformer body scrap</t>
  </si>
  <si>
    <t>MS Rail scrap</t>
  </si>
  <si>
    <t>CS Mohali</t>
  </si>
  <si>
    <t>CS Bathinda</t>
  </si>
  <si>
    <t>Teen Patra scrap</t>
  </si>
  <si>
    <t>Lot no. E - 5</t>
  </si>
  <si>
    <t>Lot no. E - 6</t>
  </si>
  <si>
    <t>Lot no. E - 7</t>
  </si>
  <si>
    <t>Lot no. E - 8</t>
  </si>
  <si>
    <t>Quantity in No</t>
  </si>
  <si>
    <t>Disc Insulator Scrap</t>
  </si>
  <si>
    <t>HT wire scrap off size</t>
  </si>
  <si>
    <t>Controller of Stores &amp; Disposal (South), PSPCL, Patiala</t>
  </si>
  <si>
    <t>Lot No B-1</t>
  </si>
  <si>
    <t>Lot No A-1</t>
  </si>
  <si>
    <t xml:space="preserve"> Iron scrap</t>
  </si>
  <si>
    <t>Quantity No</t>
  </si>
  <si>
    <t>CT/PT Units</t>
  </si>
  <si>
    <t>Lot no. I-1</t>
  </si>
  <si>
    <t>CS Sangrur</t>
  </si>
  <si>
    <t>Lot no. Q-8</t>
  </si>
  <si>
    <t>E-Waste Scrap(Meter Scrap) lying at</t>
  </si>
  <si>
    <t>Quantity ( in Kg.)</t>
  </si>
  <si>
    <t>A.O/Disposal</t>
  </si>
  <si>
    <r>
      <t xml:space="preserve">PUNJAB STATE POWER CORPORATION LIMITED  </t>
    </r>
    <r>
      <rPr>
        <b/>
        <sz val="11"/>
        <color indexed="8"/>
        <rFont val="Comic Sans MS"/>
        <family val="4"/>
      </rPr>
      <t xml:space="preserve">         </t>
    </r>
  </si>
  <si>
    <t>Patiala</t>
  </si>
  <si>
    <t>COS&amp;D(South)</t>
  </si>
  <si>
    <t>Sr Xen/Disposal</t>
  </si>
  <si>
    <t>PB-11 AH-0925</t>
  </si>
  <si>
    <t>SHAKTI VIHAR SHEDS PSPCL PATIALA</t>
  </si>
  <si>
    <t>2/core PVC Alumn. Cable scrap</t>
  </si>
  <si>
    <t>4/core PVC Alumn. Cable scrap</t>
  </si>
  <si>
    <t>3/ core XLPE Alu cable scrap</t>
  </si>
  <si>
    <t>Lot no. D-2</t>
  </si>
  <si>
    <t>Lot no. D-3</t>
  </si>
  <si>
    <t>CS Malout</t>
  </si>
  <si>
    <t>Lot no. D-4</t>
  </si>
  <si>
    <t>1/ core XLPE Alu cable scrap</t>
  </si>
  <si>
    <t>OL Ropar</t>
  </si>
  <si>
    <t>CS Ferozepur</t>
  </si>
  <si>
    <t>OL Bhagta Bhai Ka</t>
  </si>
  <si>
    <t>OL store Patran</t>
  </si>
  <si>
    <t>OL Patran</t>
  </si>
  <si>
    <t>OL Rajpura</t>
  </si>
  <si>
    <t>OL Nabha</t>
  </si>
  <si>
    <t>HONDA CIVIC CAR (PETROL) 2008</t>
  </si>
  <si>
    <t xml:space="preserve">NOTE : Before lifting of Transformers (From Lot no. ), HT/LT copper winding coils of transformers shall be mutilated by the purchaser. </t>
  </si>
  <si>
    <t xml:space="preserve">C -  Three phase Copper/ Aluminium and single phase copper/ Aluminium wound Damaged Distribution Transformers As Per Actual Site Condition </t>
  </si>
  <si>
    <t>Central Store Kotkapura</t>
  </si>
  <si>
    <t>L-1</t>
  </si>
  <si>
    <t>Lot no. Q-2</t>
  </si>
  <si>
    <t>Misc. copper scrap</t>
  </si>
  <si>
    <t>OL Fazilka</t>
  </si>
  <si>
    <t>G.TOTAL</t>
  </si>
  <si>
    <t>Lot No A-2</t>
  </si>
  <si>
    <t>Lot no. Q-12</t>
  </si>
  <si>
    <t>OL store Malerkotla</t>
  </si>
  <si>
    <t>Lot no. Q-13</t>
  </si>
  <si>
    <t>Lot no. Q-14</t>
  </si>
  <si>
    <t>Lot no. E - 10</t>
  </si>
  <si>
    <t>TRY Patiala</t>
  </si>
  <si>
    <t>Lot no. I-2</t>
  </si>
  <si>
    <t>Lot No B-2</t>
  </si>
  <si>
    <t>Lot No B-3</t>
  </si>
  <si>
    <t>Lot no. G - 1</t>
  </si>
  <si>
    <t>Lot no. Q-15</t>
  </si>
  <si>
    <t>OL Malerkotla</t>
  </si>
  <si>
    <t>Lot no. G - 2</t>
  </si>
  <si>
    <t>Lot no. G - 3</t>
  </si>
  <si>
    <t>Lot no. G - 4</t>
  </si>
  <si>
    <t>Lot no. G - 5</t>
  </si>
  <si>
    <t>Lot no. G - 6</t>
  </si>
  <si>
    <t>TRY Bhagta Bhai Ka</t>
  </si>
  <si>
    <t>Lot no. Q-16</t>
  </si>
  <si>
    <t>Lot no. Q-17</t>
  </si>
  <si>
    <t>TRY Sangrur</t>
  </si>
  <si>
    <t>TRY Patran</t>
  </si>
  <si>
    <t>Lot no. G - 7</t>
  </si>
  <si>
    <t>Lot no. G - 8</t>
  </si>
  <si>
    <t>Lot no. G - 9</t>
  </si>
  <si>
    <t>Lot no. G - 10</t>
  </si>
  <si>
    <t>Lot no. Q-18</t>
  </si>
  <si>
    <t>Earthwire GSL scrap</t>
  </si>
  <si>
    <t>TRY Ropar</t>
  </si>
  <si>
    <t>Lot no. G - 11</t>
  </si>
  <si>
    <t>Outlet store Shri Muktsar sahib</t>
  </si>
  <si>
    <t>OL Shri Muktsar Sahib</t>
  </si>
  <si>
    <t>Ms Nuts &amp; Bolts</t>
  </si>
  <si>
    <t>PB-05 F-9520</t>
  </si>
  <si>
    <t>MINI TRUCK EICHER DIESEL (1999)</t>
  </si>
  <si>
    <t>DS S/D MAMDOT S/D FEROZEPUR</t>
  </si>
  <si>
    <t>L-2</t>
  </si>
  <si>
    <t>ME LAB SANGRUR (Crushed Meter Scrap/E-Waste)</t>
  </si>
  <si>
    <t>ME LAB ROPAR (Crushed Meter Scrap/E-Waste)</t>
  </si>
  <si>
    <t>L-3</t>
  </si>
  <si>
    <t>PB-03 N-5547</t>
  </si>
  <si>
    <t>AMBASSADOR CAR DIESEL (2005)</t>
  </si>
  <si>
    <t>DS DIVISION BADAL</t>
  </si>
  <si>
    <t>Lot No B-5</t>
  </si>
  <si>
    <t>Central Store Patiala</t>
  </si>
  <si>
    <t>ME LAB PATIALA (Crushed Meter Scrap/E-Waste)</t>
  </si>
  <si>
    <t>Lot No A-3</t>
  </si>
  <si>
    <t>Lot No A-5</t>
  </si>
  <si>
    <t>Lot No A-7</t>
  </si>
  <si>
    <t>TRY Malout</t>
  </si>
  <si>
    <t>Lot No B-8</t>
  </si>
  <si>
    <t>TRY Mansa</t>
  </si>
  <si>
    <t>Lot no. D-7</t>
  </si>
  <si>
    <t>ABC cable scrap (70/95 mm)</t>
  </si>
  <si>
    <t>Lot no. D-8</t>
  </si>
  <si>
    <t>Lot no. D-9</t>
  </si>
  <si>
    <t>1/core PVC Alumn. Cable scrap</t>
  </si>
  <si>
    <t>Lot no. D-10</t>
  </si>
  <si>
    <t>Lot no. D-11</t>
  </si>
  <si>
    <t>Lot no. D-12</t>
  </si>
  <si>
    <t>Lot no. E - 9</t>
  </si>
  <si>
    <t>Lot no. E - 14</t>
  </si>
  <si>
    <t>Lot no. E - 15</t>
  </si>
  <si>
    <t>Lot No A-4</t>
  </si>
  <si>
    <t>Outlet store Malerkotla</t>
  </si>
  <si>
    <t>Lot No A-6</t>
  </si>
  <si>
    <t>Outlet store Patran</t>
  </si>
  <si>
    <t>Outlet store Barnala</t>
  </si>
  <si>
    <t>Lot No A-9</t>
  </si>
  <si>
    <t>Lot No A-10</t>
  </si>
  <si>
    <t>Outlet store Ropar</t>
  </si>
  <si>
    <t>Outlet store Mansa</t>
  </si>
  <si>
    <t>Lot No B-6</t>
  </si>
  <si>
    <t>Lead seal scrap with lash wire</t>
  </si>
  <si>
    <t>Lot no. D-5</t>
  </si>
  <si>
    <t>OL Barnala</t>
  </si>
  <si>
    <t>Lot no. D-6</t>
  </si>
  <si>
    <t>Lot no. E - 18</t>
  </si>
  <si>
    <t>G.I. scrap</t>
  </si>
  <si>
    <t>Lot no. Q-23</t>
  </si>
  <si>
    <t>Lot no. Q-24</t>
  </si>
  <si>
    <t>Lot no. Q-19</t>
  </si>
  <si>
    <t>Lot no. I-3</t>
  </si>
  <si>
    <t>G.I. Scrap</t>
  </si>
  <si>
    <t>M.S. Nuts &amp; Bolts Scrap</t>
  </si>
  <si>
    <t>Lot no. E - 11</t>
  </si>
  <si>
    <t>CS Kotkapura  (.237 MT Intermingle)</t>
  </si>
  <si>
    <t>Lot No A-8</t>
  </si>
  <si>
    <t>Lot no. Q-20</t>
  </si>
  <si>
    <t>Lot No A-11</t>
  </si>
  <si>
    <t>Lot No B-4</t>
  </si>
  <si>
    <t>Lot no. I-4</t>
  </si>
  <si>
    <t>Lot no. E - 12</t>
  </si>
  <si>
    <t>Lot no. E - 13</t>
  </si>
  <si>
    <t>Central Store Sangrur</t>
  </si>
  <si>
    <t>Lot no. Q-21</t>
  </si>
  <si>
    <t>Lot no. D-14</t>
  </si>
  <si>
    <t xml:space="preserve">S.Report No. </t>
  </si>
  <si>
    <t xml:space="preserve">No of T/Fs </t>
  </si>
  <si>
    <t>Cap. in KVA</t>
  </si>
  <si>
    <t>Description</t>
  </si>
  <si>
    <t>Indicative Design Wt. of Core &amp; Winding (KG)</t>
  </si>
  <si>
    <t>Three Phase Aluminium Wound T/F</t>
  </si>
  <si>
    <t xml:space="preserve">10 KVA </t>
  </si>
  <si>
    <t>WNP =27 (unstandard tf's)</t>
  </si>
  <si>
    <t>WNP =25 (unstandard tf's)</t>
  </si>
  <si>
    <t>WNP =14 (unstandard tf's)</t>
  </si>
  <si>
    <t>TRY Moga</t>
  </si>
  <si>
    <t>Three Phase Copper Wound T/F</t>
  </si>
  <si>
    <t>6.3 KVA</t>
  </si>
  <si>
    <t>10 KVA</t>
  </si>
  <si>
    <t>WNP-25 (unstandard tf's)</t>
  </si>
  <si>
    <t>WNP-18 (unstandard tf's)</t>
  </si>
  <si>
    <t>16 KVA</t>
  </si>
  <si>
    <t>Single Phase Copper Wound T/F</t>
  </si>
  <si>
    <t>Single Phase Aluminium Wound T/F</t>
  </si>
  <si>
    <t>Outlet store Nabha</t>
  </si>
  <si>
    <t>Outlet store Rajpura</t>
  </si>
  <si>
    <t>25 KVA</t>
  </si>
  <si>
    <r>
      <t xml:space="preserve">Following Scrap Material is Offered for On-Line Forward E-Auction at the above mentioned date as per the prevailing PSPCL's Terms &amp; Conditions of the E-Auction Sale ( available on PSPCL web site www.pspcl.in) on </t>
    </r>
    <r>
      <rPr>
        <b/>
        <sz val="12"/>
        <rFont val="Arial"/>
        <family val="2"/>
      </rPr>
      <t>"As - Is - Where - Is " basis.</t>
    </r>
  </si>
  <si>
    <t>Lot no. Q-22</t>
  </si>
  <si>
    <t>Lot no. Q-25</t>
  </si>
  <si>
    <t xml:space="preserve">6.3 KVA </t>
  </si>
  <si>
    <t xml:space="preserve">16 KVA </t>
  </si>
  <si>
    <t>WNP-1  (unstandard tf's)</t>
  </si>
  <si>
    <t>WNP-1 (unstandard tf's)</t>
  </si>
  <si>
    <t>WNP-3 (unstandard tf's)</t>
  </si>
  <si>
    <t>63 KVA</t>
  </si>
  <si>
    <t>NEW</t>
  </si>
  <si>
    <r>
      <t xml:space="preserve">Lot No. C 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</si>
  <si>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t>Lot no. D-13</t>
  </si>
  <si>
    <t>100 KVA</t>
  </si>
  <si>
    <t xml:space="preserve"> WNP=1 (unstandard tf's)</t>
  </si>
  <si>
    <t>ABC cable scrap (150 mm)</t>
  </si>
  <si>
    <t>TRY Kotkapura</t>
  </si>
  <si>
    <t>Lot No B-7</t>
  </si>
  <si>
    <t>Lot no. Q-26</t>
  </si>
  <si>
    <t>Lot No B-9</t>
  </si>
  <si>
    <t>Lot no. D-15</t>
  </si>
  <si>
    <t>Lot no. D-16</t>
  </si>
  <si>
    <t xml:space="preserve"> </t>
  </si>
  <si>
    <t>…. CE/ TA &amp; I PSPCL PATIALA 96461-19587</t>
  </si>
  <si>
    <t>….. DS S/D MAMDOT PSPCL FEROZEPUR MOB 9646114589</t>
  </si>
  <si>
    <t>….. DS DIVISION BADAL 96461-14534</t>
  </si>
  <si>
    <t>STAR-1, STAR/TA=01,STAR/JB-1, ,JAY BEE=2,SONI=01,DURGA/JB=01, DURGA/SIC-1,NUCON=1,MUBASA/JB=01,SVASCA=01,SWASTIK/HR POWER-1, SWASTIK/JB-2,,LIBERTY/KB=01,SIC/JB=01,SARAF/ELECTRA=01,DM/PME=01,TA=01,TMR/PME=01</t>
  </si>
  <si>
    <t>WNP-27 (unstandard tf's)</t>
  </si>
  <si>
    <t>WNP-26 (unstandard tf's)</t>
  </si>
  <si>
    <t>WNP-30 (unstandard tf's)</t>
  </si>
  <si>
    <t>PTEL-1</t>
  </si>
  <si>
    <t>Outlet store Fazilka</t>
  </si>
  <si>
    <t>Lot No B-10</t>
  </si>
  <si>
    <t>Lot no. D17</t>
  </si>
  <si>
    <t>Lot no. Q-27</t>
  </si>
  <si>
    <t>Outlet store Moga</t>
  </si>
  <si>
    <t>Lot No A-12</t>
  </si>
  <si>
    <t>Lot no. D18</t>
  </si>
  <si>
    <t>OL Moga</t>
  </si>
  <si>
    <t>Lot no. Q-28</t>
  </si>
  <si>
    <t>ME LAB MOGA (Crushed Meter Scrap/E-Waste)</t>
  </si>
  <si>
    <t>ME LAB SHRI MUKTSAR SAHIB (Crushed Meter Scrap/E-Waste)</t>
  </si>
  <si>
    <t>Lot No. I-10</t>
  </si>
  <si>
    <t>Lot No. I-11</t>
  </si>
  <si>
    <t>Lot No. I-12</t>
  </si>
  <si>
    <t>Lot No. I-13</t>
  </si>
  <si>
    <t>Lot No. I-14</t>
  </si>
  <si>
    <t>Lot no. I-5</t>
  </si>
  <si>
    <t>Empty steel drums (cap.209 ltr.)</t>
  </si>
  <si>
    <t>50/2023</t>
  </si>
  <si>
    <t>SKYWAY-3, PP-1,JB-1, NUCON-1, ARDI-1</t>
  </si>
  <si>
    <t>51/2023</t>
  </si>
  <si>
    <t>JB-1, UP T/F-1, SICL-1, TA-1</t>
  </si>
  <si>
    <t>TA-1</t>
  </si>
  <si>
    <t>52/2023</t>
  </si>
  <si>
    <t>53/2023</t>
  </si>
  <si>
    <t>G)  Wooden scrap (without iron parts) lying as per detail given below:-</t>
  </si>
  <si>
    <t>CS Mohali (.314 MT intermingle)</t>
  </si>
  <si>
    <t>PP-1, SICL-1, MCPL-1</t>
  </si>
  <si>
    <t>SARAF-1, SICL-2, PP-1, NUCON-1,DURA-2, SHIVALIK-3</t>
  </si>
  <si>
    <t>WNP-8  (unstandard tf's)</t>
  </si>
  <si>
    <t>Outlet store Bhagta Bhai Ka</t>
  </si>
  <si>
    <t>Central Store Bathinda</t>
  </si>
  <si>
    <t>Lot no. I-6</t>
  </si>
  <si>
    <r>
      <t xml:space="preserve">Lot No. C 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</si>
  <si>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>DAUSA - 1, PTEL - 1, SIC-1</t>
  </si>
  <si>
    <t>SARAF - 2, PP - 1</t>
  </si>
  <si>
    <t>WNP-14 (unstandard tf's)</t>
  </si>
  <si>
    <t>WNP-7 (unstandard tf's)</t>
  </si>
  <si>
    <r>
      <t xml:space="preserve">Lot No. C 10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</si>
  <si>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SHIVALIK-1</t>
  </si>
  <si>
    <t>SICL-1, AGGARWAL-1, SHIVALIK-4</t>
  </si>
  <si>
    <t>JB-1</t>
  </si>
  <si>
    <t>WNP-10  (unstandard tf's)</t>
  </si>
  <si>
    <t>WNP-5 (unstandard tf's)</t>
  </si>
  <si>
    <t>WNP-2 (unstandard tf's)</t>
  </si>
  <si>
    <t>SICL-3, PTEL-2, PP-1, JB-1, ECO-1, NBGL-1, NUCON-1, SHIVALIK-11</t>
  </si>
  <si>
    <t>PTEL-3, PP-3</t>
  </si>
  <si>
    <t>SICL-2</t>
  </si>
  <si>
    <t>ECO-1, SICL-1</t>
  </si>
  <si>
    <t xml:space="preserve"> WNP=25 (unstandard tf's)</t>
  </si>
  <si>
    <t xml:space="preserve"> WNP=29 (unstandard tf's)</t>
  </si>
  <si>
    <t>NUCON-2</t>
  </si>
  <si>
    <t>NUCON-1,SHIVALIK-1,PAN-2,JR-2,PUNJAB-1,ASI-1</t>
  </si>
  <si>
    <t>SARAF-1,JB-2,PTEL-1</t>
  </si>
  <si>
    <t>SHIV BHOLE/PTEL-1, IACL/TA-1, STAR/PTEL-1</t>
  </si>
  <si>
    <t>DM/TA-1, GOYMA/PTEL-1, PP-1</t>
  </si>
  <si>
    <t>Lot No A-13</t>
  </si>
  <si>
    <t>Lot No A-14</t>
  </si>
  <si>
    <t>new</t>
  </si>
  <si>
    <t>Lot no. E - 16</t>
  </si>
  <si>
    <t>S &amp; T Store Bathinda ( .465 MT intermingle )</t>
  </si>
  <si>
    <t>Lot No A-15</t>
  </si>
  <si>
    <t>Lot No A-16</t>
  </si>
  <si>
    <t>Lot No A-17</t>
  </si>
  <si>
    <t>Central Store Malout</t>
  </si>
  <si>
    <t>Lot no. I-7</t>
  </si>
  <si>
    <t>OL Shri Mukfsar Sahib</t>
  </si>
  <si>
    <t xml:space="preserve">ME LAB SHRI MUKSAR SAHIB  (Electronic Meter Scrap/E-Waste )  </t>
  </si>
  <si>
    <t>Lot No. I-15</t>
  </si>
  <si>
    <t>TRY Barnala</t>
  </si>
  <si>
    <t>CS Patiala (.025 MT intermingle )</t>
  </si>
  <si>
    <t>ARDISON-1,SKYWAY-1,UTTAM-2</t>
  </si>
  <si>
    <t>NUCON-1,MS-1</t>
  </si>
  <si>
    <t xml:space="preserve"> WNP=19 (unstandard tf's)</t>
  </si>
  <si>
    <t>ARD-1,WNP-19 ( unstandard tf's)</t>
  </si>
  <si>
    <t>JB-1,WNP-11 (unstandard tf's)</t>
  </si>
  <si>
    <t>Alu.  seals scrap with lash wire</t>
  </si>
  <si>
    <t>Lot no. I-8</t>
  </si>
  <si>
    <t>KKK/2023/157</t>
  </si>
  <si>
    <t xml:space="preserve">NPC = 2, HRP = 2, JK = 1, MRN = 1, JB = 3, DTPL = 3, PP = 1, SIC = 1, JR = 1, WNP = 1, SHK = 1, SSK = 1, TA = 1, PTEL = 1                </t>
  </si>
  <si>
    <t>KKK/2023/160</t>
  </si>
  <si>
    <t xml:space="preserve">DTPL = 6, JB = 1, ASI = 2, PP = 2, SUSHIL = 1, MUSKAN = 1,  HTT = 1, UBE = 1, JR = 2, WNP = 1                                                      </t>
  </si>
  <si>
    <t>KKK/2023/162</t>
  </si>
  <si>
    <t xml:space="preserve">UBE = 1, PP = 2, SKSU = 1, NSL = 1, TA = 1, NPC = 1                </t>
  </si>
  <si>
    <t>KKK/2023/165</t>
  </si>
  <si>
    <t xml:space="preserve">NPC = 1, TA = 2, SHK = 2, MRN = 1, HRP = 1, DTPL = 1, SEF = 1, PP = 1                                                                                          </t>
  </si>
  <si>
    <t>KKK/2023/159</t>
  </si>
  <si>
    <t xml:space="preserve">EPS = 6, SIC = 1, JB = 7, PTEL = 1, ARD = 3                           </t>
  </si>
  <si>
    <t>KKK/2023/164</t>
  </si>
  <si>
    <t>25 KVA (BODY &amp; CORE)</t>
  </si>
  <si>
    <t xml:space="preserve">PTEL = 2, TA = 1, NPC = 3, SEF = 2                                              </t>
  </si>
  <si>
    <t>KKK/2023/166</t>
  </si>
  <si>
    <t xml:space="preserve">SIC = 1, ECE = 1, JB = 1                                                                               </t>
  </si>
  <si>
    <t>KKK/2023/167</t>
  </si>
  <si>
    <t xml:space="preserve">SEF = 1, WNP = 1                                                                              </t>
  </si>
  <si>
    <t>KKK/2023/161</t>
  </si>
  <si>
    <t xml:space="preserve">WNP =20.(unstandard tf's)                                                                     </t>
  </si>
  <si>
    <t>KKK/2023/163</t>
  </si>
  <si>
    <t xml:space="preserve">WNP =1.(unstandard tf's)                                                                     </t>
  </si>
  <si>
    <t>KKK/2023/168</t>
  </si>
  <si>
    <t xml:space="preserve">WNP =6.(unstandard tf's)                                                                     </t>
  </si>
  <si>
    <t>KKK/2023/158</t>
  </si>
  <si>
    <t xml:space="preserve">6.3  KVA                  </t>
  </si>
  <si>
    <t xml:space="preserve">WNP =8.(unstandard tf's)                                                                     </t>
  </si>
  <si>
    <t xml:space="preserve">10 KVA             </t>
  </si>
  <si>
    <t>PP -1</t>
  </si>
  <si>
    <t>PP-1, RR-1, SARAF-1, SHIVALIK-2</t>
  </si>
  <si>
    <t xml:space="preserve">WNP =2.(unstandard tf's)                                                                     </t>
  </si>
  <si>
    <t>SICL-3, PTEL-7, BGL-1, JB-2, ECO-1, PVJ-1, NBGL-1, MS-1, PP-1, JINDAL-1,DURA-1</t>
  </si>
  <si>
    <t>dtpl-1,pp-2,kissan-1,saraf-1</t>
  </si>
  <si>
    <t>ptel-1</t>
  </si>
  <si>
    <t>pp-1</t>
  </si>
  <si>
    <t xml:space="preserve">mcpl-1,wnp-1.(unstandard tf's)   </t>
  </si>
  <si>
    <t xml:space="preserve">WNP =5.(unstandard tf's)                                                                     </t>
  </si>
  <si>
    <t>DTPL - 2 , MRN - 1, TA-1</t>
  </si>
  <si>
    <t>NUCON - 1</t>
  </si>
  <si>
    <t>SARAF-1, MRN - 1</t>
  </si>
  <si>
    <t xml:space="preserve">WNP =27.(unstandard tf's)                                                                     </t>
  </si>
  <si>
    <t xml:space="preserve">WNP =3.(unstandard tf's)                                                                     </t>
  </si>
  <si>
    <t>AA - LT ABC Cable scrap without insulation:-</t>
  </si>
  <si>
    <t>Lot No AA-1</t>
  </si>
  <si>
    <t>U/S Tyres</t>
  </si>
  <si>
    <t>U/S Tubes</t>
  </si>
  <si>
    <t>CS SANGRUR (U/S AC WINDOW)</t>
  </si>
  <si>
    <t>CS PATIALA  (U/S AC WINDOW)</t>
  </si>
  <si>
    <t>Quantity ( in No.)</t>
  </si>
  <si>
    <r>
      <rPr>
        <b/>
        <u val="single"/>
        <sz val="14"/>
        <color indexed="8"/>
        <rFont val="Calibri"/>
        <family val="2"/>
      </rPr>
      <t>(I) E-Waste Material lying in Central Store Patiala,Central Store Sangrur as per detail given below :-</t>
    </r>
    <r>
      <rPr>
        <b/>
        <sz val="14"/>
        <color indexed="8"/>
        <rFont val="Calibri"/>
        <family val="2"/>
      </rPr>
      <t xml:space="preserve">                                                                                                   </t>
    </r>
    <r>
      <rPr>
        <b/>
        <u val="single"/>
        <sz val="16"/>
        <color indexed="8"/>
        <rFont val="Calibri"/>
        <family val="2"/>
      </rPr>
      <t>Note:-</t>
    </r>
    <r>
      <rPr>
        <b/>
        <sz val="14"/>
        <color indexed="8"/>
        <rFont val="Calibri"/>
        <family val="2"/>
      </rPr>
      <t xml:space="preserve"> Bidders holding valid authorisation under E-waste (Management) Rules, 2016 as amended in 2018 for dismantling, recycling and refurbishing of E-waste are allowed to participate in E-auction of E-waste. Bid initiated by any other bidder for purchase of E-waste material without holding above mentioned authorisation will not be considered. </t>
    </r>
  </si>
  <si>
    <t>Tubular Poles</t>
  </si>
  <si>
    <t>Lot no. E - 17</t>
  </si>
  <si>
    <t>All Alum scrap</t>
  </si>
  <si>
    <t>Alu scrap of damaged T/F accessories</t>
  </si>
  <si>
    <t>Copper scrap</t>
  </si>
  <si>
    <t>Piller box scrap</t>
  </si>
  <si>
    <t xml:space="preserve">U/S CT </t>
  </si>
  <si>
    <t>Lot no. I-9</t>
  </si>
  <si>
    <t>Iron scrap of Bush fixings</t>
  </si>
  <si>
    <t>CS PATIALA  (U/S STABLIZERS)</t>
  </si>
  <si>
    <t>NUCON 1, JR 2, PP 1, SKSU 1,</t>
  </si>
  <si>
    <t>PP 1, SKSU 1, JR 5, SICL 2, DURABLE 2, SHIVSHKTI 1</t>
  </si>
  <si>
    <t>JB 8, SICL 1, PTEL 1, ARD 1</t>
  </si>
  <si>
    <t>M&amp;M 1, JR 2, NPC 1,</t>
  </si>
  <si>
    <t>SICL 1, JB 1, RTS 1</t>
  </si>
  <si>
    <t>MRN 1,</t>
  </si>
  <si>
    <t>SICL 2, MANU POWER 1</t>
  </si>
  <si>
    <t>SICL 1, HITECH 2, JB 1,</t>
  </si>
  <si>
    <t xml:space="preserve">NPC 1, PP 1(unstandard tf's)      </t>
  </si>
  <si>
    <t xml:space="preserve">JR 1, AGARWAL 1,(unstandard tf's)      </t>
  </si>
  <si>
    <t>195/2023</t>
  </si>
  <si>
    <t>196/2023</t>
  </si>
  <si>
    <t>197/2023</t>
  </si>
  <si>
    <t>198/2023</t>
  </si>
  <si>
    <t>199/2023</t>
  </si>
  <si>
    <t>201/2023</t>
  </si>
  <si>
    <t>202/2023</t>
  </si>
  <si>
    <t>203/2023</t>
  </si>
  <si>
    <t>200/2023</t>
  </si>
  <si>
    <t>204/2023</t>
  </si>
  <si>
    <r>
      <t xml:space="preserve">Lot No. C 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</si>
  <si>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</si>
  <si>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</si>
  <si>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</si>
  <si>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BHAGTA BHAI KA</t>
    </r>
  </si>
  <si>
    <r>
      <t xml:space="preserve">Lot No. C 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BATHINDA</t>
    </r>
  </si>
  <si>
    <r>
      <t xml:space="preserve">Lot No. C 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SANGRUR</t>
    </r>
  </si>
  <si>
    <r>
      <t xml:space="preserve">Lot No. C 11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MALERKOTLA</t>
    </r>
  </si>
  <si>
    <r>
      <t xml:space="preserve">Lot No. C 12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PATRAN</t>
    </r>
  </si>
  <si>
    <r>
      <t xml:space="preserve">Lot No. C 13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</si>
  <si>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r>
      <t xml:space="preserve">Lot No. C 14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</si>
  <si>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r>
      <t xml:space="preserve">Lot No. C 15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TRYMANSA</t>
    </r>
  </si>
  <si>
    <t>SHRI KRISHNA-1,SARAF-1</t>
  </si>
  <si>
    <t>AGGARWAL-7,GTB-1,HR-1,JB-1,JR-2,MS-5,SICL-2,SUSHIL-2, UTTAM-3</t>
  </si>
  <si>
    <t>SICL-1,NUCON-1,JB-1,MUSKAN-1,VKG-1</t>
  </si>
  <si>
    <t>WNP-23 (unstandard tf's)</t>
  </si>
  <si>
    <t>WNP-17 (unstandard tf's)</t>
  </si>
  <si>
    <t>Lot No AA-2</t>
  </si>
  <si>
    <t>Lot No. I-16</t>
  </si>
  <si>
    <t>Lot No. I-17</t>
  </si>
  <si>
    <t>Lot No. I-18</t>
  </si>
  <si>
    <t>Lot no. Q-09</t>
  </si>
  <si>
    <t>EA-62 /PTA-2023-24</t>
  </si>
  <si>
    <t>09.01.2024</t>
  </si>
  <si>
    <t>DURABLE=1,HRP=3.JB=1,JM=1,JR=3,MS=2,NUCON=4,PP=4,SARAF=1,SHIVA=1,TA=4</t>
  </si>
  <si>
    <t>ARD=3,ECO=4,JB=12,PTEL=1,SICL=5</t>
  </si>
  <si>
    <t>ARD=2,ECO=1,JB=12,JR=1,PTEL=5,SICL=4</t>
  </si>
  <si>
    <t>ARD=1,ECO=3.JB=16,PP=1,PTEL=2,SICL=2</t>
  </si>
  <si>
    <t>ARD=4,ECO=5,JB=10,JR=2,PTEL=1,SICL=3</t>
  </si>
  <si>
    <r>
      <t xml:space="preserve">Lot No. C 16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TRYMALOUT</t>
    </r>
  </si>
  <si>
    <t>25 KVA (CORE &amp; TANK)</t>
  </si>
  <si>
    <t>LIBERTY T/FS BATHINDA -24</t>
  </si>
  <si>
    <t xml:space="preserve">ME LAB SANGRUR  (Electronic Meter Scrap/E-Waste )  </t>
  </si>
  <si>
    <t xml:space="preserve">ME LAB ROPAR  (Electronic Meter Scrap/E-Waste )  </t>
  </si>
  <si>
    <t>HR-1</t>
  </si>
  <si>
    <t>HR-1, PP-1, SHIVALIK-4</t>
  </si>
  <si>
    <t>WNP-4  (unstandard tf's)</t>
  </si>
  <si>
    <t>JB-4, PAN-1, PTEL-3, SICL-1, MCPL-2, SARAF-1, NUCON-1, DURABLE-1, SHIV SHAKTI-1, SHIVALIK-5</t>
  </si>
  <si>
    <r>
      <t xml:space="preserve">Lot No. C 17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TRYMALERKOTLA</t>
    </r>
  </si>
  <si>
    <t>DTPL-1</t>
  </si>
  <si>
    <t>PP-2, ARD-1,PTEL-1,SARAF-1</t>
  </si>
  <si>
    <t>WNP-19 (unstandard tf's)</t>
  </si>
  <si>
    <r>
      <t xml:space="preserve">Lot No. C 18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</si>
  <si>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63 KVA (CORE &amp; TANK)</t>
  </si>
  <si>
    <t>SARAF-2, MRN-2, PP-2, JR-1, PTEL-1, NPC-1,SIC-1</t>
  </si>
  <si>
    <t>Tubular Poles scrap</t>
  </si>
  <si>
    <t xml:space="preserve">ME LAB BATHINDA  (Electronic Meter Scrap/E-Waste )  </t>
  </si>
  <si>
    <t xml:space="preserve">ME LAB MOGA (Electronic Meter Scrap/E-Waste )  </t>
  </si>
  <si>
    <t>Lot No. I-19</t>
  </si>
  <si>
    <t>Lot No. I-20</t>
  </si>
  <si>
    <t>Lot No. I-21</t>
  </si>
  <si>
    <t>Lot No. I-22</t>
  </si>
  <si>
    <t>Lot no. Q-29</t>
  </si>
  <si>
    <t>1 C PVC CABLE  .65 MT ADDED BY MISTAKE BY CS SGR</t>
  </si>
  <si>
    <t>CS Ferozepur (.015 MT Intermingle)</t>
  </si>
  <si>
    <t>Lot No A-18</t>
  </si>
  <si>
    <t>Lot no. G - 12</t>
  </si>
  <si>
    <t>OL Shri Mukatsar Sahib</t>
  </si>
  <si>
    <r>
      <t xml:space="preserve">Lot No. C 19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BARNALA</t>
    </r>
  </si>
  <si>
    <t>JINDAL-1, PP-3,SIC-1,JAY BEE-1,ECO POWER-1,SARAF-2,SKYWAY-1,NUCON-1</t>
  </si>
  <si>
    <t>PME-5,TA-6,PP-1,MRN-3,JAY BEE-5,SAPA-2,ELECTRA-2,JR-1</t>
  </si>
  <si>
    <t>CAPITAL-4,ELECTRA-4,JR-1,TA-4,SARAF-2,JAY BEE-2,PME-5,MARSON-2,PTEL-1</t>
  </si>
  <si>
    <t>PME-5, BHOPAL-2,SIC-1,ELECTRA-2,TA-4,JAY BEE-4,JR-2</t>
  </si>
  <si>
    <t>MRN-3,JR-4,SARAF-5,PME-5,PTEL-2,JAY BEE-4,ELECTRA-4,TA-3</t>
  </si>
  <si>
    <t xml:space="preserve">25 KVA </t>
  </si>
  <si>
    <t xml:space="preserve">63 KVA </t>
  </si>
  <si>
    <t xml:space="preserve">100 KVA </t>
  </si>
  <si>
    <t>WNP-22 (unstandard tf's)</t>
  </si>
  <si>
    <t>WNP-11 (unstandard tf's)</t>
  </si>
  <si>
    <r>
      <t xml:space="preserve">Lot No. C 20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FEROZEPUR</t>
    </r>
  </si>
  <si>
    <t>PTEL 1, NUCON 3, NPC 3, SKYWAY 1, JR 2, SHRIKRISNA 1, SHIVA WELD 2, PP 2, TA 2</t>
  </si>
  <si>
    <t>SICL 2, JR 3, MAHASHKTI 1, AGARWAL 1, UTTAM 1</t>
  </si>
  <si>
    <t>JB 3, SICL 8, ARDISON 1, PTEL 1, ECO 2</t>
  </si>
  <si>
    <t>JR 1, JB 1</t>
  </si>
  <si>
    <t>SAPA 1, SHIVSHKTI 1</t>
  </si>
  <si>
    <t>JB 2, NPC 2</t>
  </si>
  <si>
    <t>UTTAM 1, SHIVSHKTI 1</t>
  </si>
  <si>
    <t>63 KVA (amorphous core)</t>
  </si>
  <si>
    <t>NUCON 2, NPC 1,</t>
  </si>
  <si>
    <t>JB 1</t>
  </si>
  <si>
    <t>NUCON 1, SICL 2, MANU 2</t>
  </si>
  <si>
    <t>Lot no. G - 13</t>
  </si>
  <si>
    <t>PP 1, JR 1, NUCON 1(unstandard tf's)</t>
  </si>
  <si>
    <t>PP 1, SHIVSHKTI 1, KISAN 1 (unstandard tf's)</t>
  </si>
  <si>
    <r>
      <t xml:space="preserve">Lot No. C 21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KOTKAPURA</t>
    </r>
  </si>
  <si>
    <t>Lot no. E - 19</t>
  </si>
  <si>
    <t>G.I. Wire/GSL scrap</t>
  </si>
  <si>
    <t>Lot No B-11</t>
  </si>
  <si>
    <t>KKK/2023/170</t>
  </si>
  <si>
    <t xml:space="preserve">DTPL = 8, MRN = 3, TA = 1, PTEL = 2, SKY WAY = 1, SHK = 1, HRP = 1, NPC = 1, PP = 2                                                                    </t>
  </si>
  <si>
    <t>KKK/2023/175</t>
  </si>
  <si>
    <t xml:space="preserve">UBE = 1, NPC = 3, SKY WAY = 1, DTPL = 1                                  </t>
  </si>
  <si>
    <t>KKK/2023/176</t>
  </si>
  <si>
    <t xml:space="preserve">PP = 1, PTEL = 1, NSL = 1, SUSHIL = 1, JB = 1, DTPL = 1, JR = 1 </t>
  </si>
  <si>
    <t>KKK/2023/177</t>
  </si>
  <si>
    <t xml:space="preserve">WNP = 01 NO. (unstandard tf's)                                                                                         </t>
  </si>
  <si>
    <t>KKK/2023/179</t>
  </si>
  <si>
    <t xml:space="preserve">PP = 1, MRN = 1, SEF = 1, SHK = 1, HRP = 1, SIC = 1                  </t>
  </si>
  <si>
    <t>KKK/2023/174</t>
  </si>
  <si>
    <t xml:space="preserve">SIC = 2, PTEL = 2, EPS = 4, JB = 2, ARD = 3, SBJ = 1 </t>
  </si>
  <si>
    <t>KKK/2023/173</t>
  </si>
  <si>
    <t xml:space="preserve">TA = 1, ACCURATE = 1                                                                                  </t>
  </si>
  <si>
    <t>KKK/2023/180</t>
  </si>
  <si>
    <t xml:space="preserve">WNP = 5, SEF = 1, ECE = 1, JB = 2, TA = 1                                            </t>
  </si>
  <si>
    <t>KKK/2023/169</t>
  </si>
  <si>
    <t xml:space="preserve">WNP = 09 NO.(unstandard tf's)                                                                       </t>
  </si>
  <si>
    <t>KKK/2023/171</t>
  </si>
  <si>
    <t xml:space="preserve">WNP = 16 NO. (unstandard tf's)                                                                     </t>
  </si>
  <si>
    <t>KKK/2023/172</t>
  </si>
  <si>
    <t xml:space="preserve">16  KVA                     </t>
  </si>
  <si>
    <t xml:space="preserve">WNP = 05 NO.  (unstandard tf's)                                                                     </t>
  </si>
  <si>
    <t>KKK/2023/178</t>
  </si>
  <si>
    <t xml:space="preserve">PTEL = 1, NSL = 1, VIJAI = 1, NPC = 1, SIC = 2 </t>
  </si>
  <si>
    <t xml:space="preserve">10   KVA                  </t>
  </si>
  <si>
    <t>10  KVA</t>
  </si>
  <si>
    <r>
      <t xml:space="preserve">Lot No. C 22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</si>
  <si>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SICL-1,MAHASHAKTI-1,SKYWAY-1,NPC-1</t>
  </si>
  <si>
    <t>UTTAM-2,SICL-1,NUCON-2,SBI-1,MAHASHAKTI-1,TA-1</t>
  </si>
  <si>
    <t>JB-2</t>
  </si>
  <si>
    <t>SHIVSHAKTI-2,SICL-1</t>
  </si>
  <si>
    <t>200 KVA</t>
  </si>
  <si>
    <t>PME-1</t>
  </si>
  <si>
    <t>SE-2(unstandard tf's)</t>
  </si>
  <si>
    <t>SE-1(unstandard tf's)</t>
  </si>
  <si>
    <t>.095 im e</t>
  </si>
  <si>
    <t>CS Bathinda (.134 MT intermingle)</t>
  </si>
  <si>
    <t>Lot no. E - 20</t>
  </si>
  <si>
    <t>Lot no. E - 21</t>
  </si>
  <si>
    <t>Lot no. G - 14</t>
  </si>
  <si>
    <t>M.S Iron scrap</t>
  </si>
  <si>
    <r>
      <t xml:space="preserve">Lot No. C 23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PATIALA</t>
    </r>
  </si>
  <si>
    <t>NUCON-3,MAHASHAKTI-5,MANUPOWER-1,SICL-1</t>
  </si>
  <si>
    <t>Lot no. E - 22</t>
  </si>
  <si>
    <t>Lot no. E - 23</t>
  </si>
  <si>
    <t>Lot No B-12</t>
  </si>
  <si>
    <t>Iron scrap of bush fixings, Lying at OL Moga. Quantity in MT - MS iron scrap - 0.697, Transformer body scrap - 0.080</t>
  </si>
  <si>
    <t>Lot No B-13</t>
  </si>
  <si>
    <t xml:space="preserve">10  KVA                   </t>
  </si>
  <si>
    <t>PPI-2</t>
  </si>
  <si>
    <t>PTEL-1,UBE-1,NSL-2,JB-2,NPC-1,KSM-1</t>
  </si>
  <si>
    <t>PPI-5,MRN-1,JB-1,SST-2,NPC-2,SEF-1</t>
  </si>
  <si>
    <t>AMN=2</t>
  </si>
  <si>
    <t>NSL-2</t>
  </si>
  <si>
    <t>ARD-2,SBJ-1</t>
  </si>
  <si>
    <t>SEN-4,JB,2,ECE-1,ELECTRA-3,TA-1</t>
  </si>
  <si>
    <t>NSL-1,SIC-2,SEN-1,ELECTRA-1,PME-J</t>
  </si>
  <si>
    <t>SIC-1,NSL-1,UBE-1</t>
  </si>
  <si>
    <t>JR-1, JB-3, TA-1, ELECTRA-1, SIC-1, NSL-1, SEN-1</t>
  </si>
  <si>
    <r>
      <t xml:space="preserve">Lot No. C 24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MOHALI</t>
    </r>
  </si>
  <si>
    <t>400 KVA</t>
  </si>
  <si>
    <t>500 KVA</t>
  </si>
  <si>
    <t>58/2023</t>
  </si>
  <si>
    <t>SKYWAY=1</t>
  </si>
  <si>
    <t>59/2023</t>
  </si>
  <si>
    <t>NUCON=2</t>
  </si>
  <si>
    <t>61/2023</t>
  </si>
  <si>
    <t>SAPA=1,JR T/F=1</t>
  </si>
  <si>
    <t>NUCON=1,SICL=1</t>
  </si>
  <si>
    <t>100KVA</t>
  </si>
  <si>
    <t>MODREN T/F=1,BHOPAL=1</t>
  </si>
  <si>
    <t>60/2023</t>
  </si>
  <si>
    <t>WNP=2(unstandard tf"s))</t>
  </si>
  <si>
    <r>
      <t xml:space="preserve">Lot No. C 25 Three/Single phase Copper/Aluminium Wound  Damaged Distribution Transformers Without oil  along with accessories as per actual site condition lying at </t>
    </r>
    <r>
      <rPr>
        <b/>
        <sz val="11"/>
        <color indexed="10"/>
        <rFont val="Arial"/>
        <family val="2"/>
      </rPr>
      <t>TRY NABHA</t>
    </r>
  </si>
  <si>
    <t xml:space="preserve">NOTE : Before lifting of Transformers (From Lot no. C-1 to C-25), HT/LT copper winding coils of transformers shall be mutilated by the purchaser. 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</si>
</sst>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"/>
    <numFmt numFmtId="183" formatCode="0.0"/>
    <numFmt numFmtId="184" formatCode="0.000"/>
    <numFmt numFmtId="185" formatCode="0.0000"/>
    <numFmt numFmtId="186" formatCode="0.00000"/>
    <numFmt numFmtId="187" formatCode="[$-409]dddd\,\ mmmm\ dd\,\ yyyy"/>
    <numFmt numFmtId="188" formatCode="[$-409]h:mm:ss\ AM/PM"/>
    <numFmt numFmtId="189" formatCode="[$-4009]dd\ mmmm\ yyyy"/>
    <numFmt numFmtId="190" formatCode="[$-F800]dddd\,\ mmmm\ dd\,\ yyyy"/>
  </numFmts>
  <fonts count="9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Comic Sans MS"/>
      <family val="4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0"/>
      <color indexed="36"/>
      <name val="Arial"/>
      <family val="2"/>
    </font>
    <font>
      <b/>
      <sz val="9"/>
      <color indexed="36"/>
      <name val="Arial"/>
      <family val="2"/>
    </font>
    <font>
      <b/>
      <u val="single"/>
      <sz val="11"/>
      <color indexed="36"/>
      <name val="Arial"/>
      <family val="2"/>
    </font>
    <font>
      <b/>
      <u val="single"/>
      <sz val="12"/>
      <color indexed="36"/>
      <name val="Arial"/>
      <family val="2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36"/>
      <name val="Arial"/>
      <family val="2"/>
    </font>
    <font>
      <b/>
      <sz val="11"/>
      <name val="Calibri"/>
      <family val="2"/>
    </font>
    <font>
      <b/>
      <sz val="11"/>
      <color indexed="10"/>
      <name val="Times New Roman"/>
      <family val="1"/>
    </font>
    <font>
      <b/>
      <sz val="14"/>
      <color indexed="17"/>
      <name val="Calibri"/>
      <family val="2"/>
    </font>
    <font>
      <b/>
      <sz val="11"/>
      <color indexed="17"/>
      <name val="Calibri"/>
      <family val="2"/>
    </font>
    <font>
      <b/>
      <u val="single"/>
      <sz val="10"/>
      <color indexed="17"/>
      <name val="Arial"/>
      <family val="2"/>
    </font>
    <font>
      <b/>
      <u val="single"/>
      <sz val="11"/>
      <color indexed="8"/>
      <name val="Comic Sans MS"/>
      <family val="4"/>
    </font>
    <font>
      <b/>
      <sz val="1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u val="single"/>
      <sz val="10"/>
      <color rgb="FF7030A0"/>
      <name val="Arial"/>
      <family val="2"/>
    </font>
    <font>
      <b/>
      <sz val="9"/>
      <color rgb="FF7030A0"/>
      <name val="Arial"/>
      <family val="2"/>
    </font>
    <font>
      <b/>
      <u val="single"/>
      <sz val="11"/>
      <color rgb="FF7030A0"/>
      <name val="Arial"/>
      <family val="2"/>
    </font>
    <font>
      <b/>
      <sz val="11"/>
      <color rgb="FFFF0000"/>
      <name val="Arial"/>
      <family val="2"/>
    </font>
    <font>
      <b/>
      <u val="single"/>
      <sz val="12"/>
      <color rgb="FF7030A0"/>
      <name val="Arial"/>
      <family val="2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1"/>
      <color rgb="FF00B05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4"/>
      <color rgb="FFFF0000"/>
      <name val="Arial"/>
      <family val="2"/>
    </font>
    <font>
      <b/>
      <u val="single"/>
      <sz val="14"/>
      <color rgb="FF7030A0"/>
      <name val="Arial"/>
      <family val="2"/>
    </font>
    <font>
      <b/>
      <sz val="11"/>
      <color rgb="FFFF0000"/>
      <name val="Times New Roman"/>
      <family val="1"/>
    </font>
    <font>
      <b/>
      <sz val="14"/>
      <color rgb="FF00B050"/>
      <name val="Calibri"/>
      <family val="2"/>
    </font>
    <font>
      <b/>
      <sz val="11"/>
      <color rgb="FF00B050"/>
      <name val="Calibri"/>
      <family val="2"/>
    </font>
    <font>
      <b/>
      <u val="single"/>
      <sz val="10"/>
      <color rgb="FF00B050"/>
      <name val="Arial"/>
      <family val="2"/>
    </font>
    <font>
      <b/>
      <u val="single"/>
      <sz val="11"/>
      <color theme="1"/>
      <name val="Comic Sans MS"/>
      <family val="4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center" wrapText="1"/>
    </xf>
    <xf numFmtId="0" fontId="75" fillId="0" borderId="14" xfId="0" applyFont="1" applyFill="1" applyBorder="1" applyAlignment="1">
      <alignment vertical="center"/>
    </xf>
    <xf numFmtId="184" fontId="8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5" fillId="0" borderId="15" xfId="0" applyFont="1" applyFill="1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0" fontId="76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left" vertical="center" wrapText="1"/>
    </xf>
    <xf numFmtId="0" fontId="77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81" fillId="0" borderId="0" xfId="0" applyFont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 vertical="top"/>
    </xf>
    <xf numFmtId="1" fontId="82" fillId="0" borderId="0" xfId="0" applyNumberFormat="1" applyFont="1" applyBorder="1" applyAlignment="1">
      <alignment horizontal="center"/>
    </xf>
    <xf numFmtId="0" fontId="8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3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184" fontId="78" fillId="0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/>
    </xf>
    <xf numFmtId="0" fontId="78" fillId="0" borderId="16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184" fontId="78" fillId="0" borderId="15" xfId="0" applyNumberFormat="1" applyFont="1" applyFill="1" applyBorder="1" applyAlignment="1">
      <alignment horizontal="center" vertical="center" wrapText="1"/>
    </xf>
    <xf numFmtId="184" fontId="10" fillId="0" borderId="16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center" wrapText="1"/>
    </xf>
    <xf numFmtId="184" fontId="78" fillId="0" borderId="13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top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 wrapText="1"/>
    </xf>
    <xf numFmtId="184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wrapText="1"/>
    </xf>
    <xf numFmtId="184" fontId="10" fillId="0" borderId="21" xfId="0" applyNumberFormat="1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/>
    </xf>
    <xf numFmtId="184" fontId="83" fillId="0" borderId="21" xfId="0" applyNumberFormat="1" applyFont="1" applyFill="1" applyBorder="1" applyAlignment="1">
      <alignment horizontal="center"/>
    </xf>
    <xf numFmtId="0" fontId="83" fillId="0" borderId="16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81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84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79" fillId="0" borderId="16" xfId="0" applyFont="1" applyFill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Font="1" applyFill="1" applyBorder="1" applyAlignment="1">
      <alignment vertical="top"/>
    </xf>
    <xf numFmtId="0" fontId="87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/>
    </xf>
    <xf numFmtId="17" fontId="10" fillId="0" borderId="13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Alignment="1">
      <alignment horizontal="left" vertical="top" wrapText="1"/>
    </xf>
    <xf numFmtId="0" fontId="87" fillId="0" borderId="13" xfId="0" applyFont="1" applyFill="1" applyBorder="1" applyAlignment="1">
      <alignment horizontal="center" vertical="center" wrapText="1"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0" fillId="32" borderId="13" xfId="57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/>
    </xf>
    <xf numFmtId="0" fontId="10" fillId="0" borderId="13" xfId="57" applyFont="1" applyBorder="1" applyAlignment="1">
      <alignment horizontal="center" vertical="center"/>
      <protection/>
    </xf>
    <xf numFmtId="0" fontId="10" fillId="0" borderId="13" xfId="57" applyFont="1" applyBorder="1" applyAlignment="1">
      <alignment horizontal="center" vertical="center" wrapText="1"/>
      <protection/>
    </xf>
    <xf numFmtId="184" fontId="78" fillId="0" borderId="15" xfId="0" applyNumberFormat="1" applyFont="1" applyFill="1" applyBorder="1" applyAlignment="1">
      <alignment horizontal="right" vertical="center" wrapText="1"/>
    </xf>
    <xf numFmtId="184" fontId="10" fillId="0" borderId="15" xfId="0" applyNumberFormat="1" applyFont="1" applyFill="1" applyBorder="1" applyAlignment="1">
      <alignment horizontal="center"/>
    </xf>
    <xf numFmtId="184" fontId="3" fillId="0" borderId="0" xfId="0" applyNumberFormat="1" applyFont="1" applyFill="1" applyAlignment="1">
      <alignment vertical="top" wrapText="1"/>
    </xf>
    <xf numFmtId="0" fontId="0" fillId="0" borderId="0" xfId="0" applyAlignment="1">
      <alignment horizontal="left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left" vertical="top" wrapText="1"/>
    </xf>
    <xf numFmtId="184" fontId="78" fillId="0" borderId="23" xfId="0" applyNumberFormat="1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0" fillId="33" borderId="13" xfId="57" applyFont="1" applyFill="1" applyBorder="1" applyAlignment="1">
      <alignment horizontal="center" vertical="center"/>
      <protection/>
    </xf>
    <xf numFmtId="0" fontId="78" fillId="0" borderId="13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/>
    </xf>
    <xf numFmtId="0" fontId="80" fillId="0" borderId="13" xfId="0" applyFont="1" applyBorder="1" applyAlignment="1">
      <alignment/>
    </xf>
    <xf numFmtId="184" fontId="74" fillId="0" borderId="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Fill="1" applyAlignment="1">
      <alignment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top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top" wrapText="1"/>
    </xf>
    <xf numFmtId="184" fontId="78" fillId="0" borderId="0" xfId="0" applyNumberFormat="1" applyFont="1" applyFill="1" applyBorder="1" applyAlignment="1">
      <alignment horizontal="center" vertical="top" wrapText="1"/>
    </xf>
    <xf numFmtId="0" fontId="84" fillId="0" borderId="0" xfId="0" applyFont="1" applyFill="1" applyBorder="1" applyAlignment="1">
      <alignment horizontal="center" vertical="center" wrapText="1"/>
    </xf>
    <xf numFmtId="184" fontId="10" fillId="0" borderId="0" xfId="0" applyNumberFormat="1" applyFont="1" applyFill="1" applyBorder="1" applyAlignment="1">
      <alignment horizontal="center" vertical="top" wrapText="1"/>
    </xf>
    <xf numFmtId="0" fontId="80" fillId="0" borderId="0" xfId="0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15" fillId="0" borderId="1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top" wrapText="1"/>
    </xf>
    <xf numFmtId="184" fontId="78" fillId="0" borderId="26" xfId="0" applyNumberFormat="1" applyFont="1" applyFill="1" applyBorder="1" applyAlignment="1">
      <alignment horizontal="center" vertical="top" wrapText="1"/>
    </xf>
    <xf numFmtId="184" fontId="6" fillId="0" borderId="0" xfId="0" applyNumberFormat="1" applyFont="1" applyFill="1" applyAlignment="1">
      <alignment horizontal="left" vertical="top" wrapText="1"/>
    </xf>
    <xf numFmtId="0" fontId="74" fillId="0" borderId="15" xfId="0" applyFont="1" applyFill="1" applyBorder="1" applyAlignment="1">
      <alignment horizontal="center" vertical="top" wrapText="1"/>
    </xf>
    <xf numFmtId="0" fontId="90" fillId="0" borderId="13" xfId="0" applyFont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top" wrapText="1"/>
    </xf>
    <xf numFmtId="184" fontId="2" fillId="0" borderId="15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2" fontId="83" fillId="0" borderId="0" xfId="0" applyNumberFormat="1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184" fontId="10" fillId="0" borderId="20" xfId="0" applyNumberFormat="1" applyFont="1" applyFill="1" applyBorder="1" applyAlignment="1">
      <alignment horizontal="center" vertical="top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33" borderId="20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top" wrapText="1"/>
    </xf>
    <xf numFmtId="184" fontId="83" fillId="0" borderId="13" xfId="0" applyNumberFormat="1" applyFont="1" applyFill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/>
    </xf>
    <xf numFmtId="0" fontId="83" fillId="0" borderId="14" xfId="0" applyFont="1" applyFill="1" applyBorder="1" applyAlignment="1">
      <alignment horizontal="center" vertical="center" wrapText="1"/>
    </xf>
    <xf numFmtId="0" fontId="83" fillId="0" borderId="14" xfId="0" applyFont="1" applyFill="1" applyBorder="1" applyAlignment="1">
      <alignment horizontal="center"/>
    </xf>
    <xf numFmtId="0" fontId="83" fillId="0" borderId="13" xfId="0" applyFont="1" applyFill="1" applyBorder="1" applyAlignment="1">
      <alignment horizontal="center" vertical="top" wrapText="1"/>
    </xf>
    <xf numFmtId="0" fontId="87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 wrapText="1"/>
    </xf>
    <xf numFmtId="0" fontId="83" fillId="0" borderId="20" xfId="0" applyFont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19" xfId="0" applyFont="1" applyFill="1" applyBorder="1" applyAlignment="1">
      <alignment horizontal="center"/>
    </xf>
    <xf numFmtId="184" fontId="83" fillId="0" borderId="15" xfId="0" applyNumberFormat="1" applyFont="1" applyFill="1" applyBorder="1" applyAlignment="1">
      <alignment horizontal="center"/>
    </xf>
    <xf numFmtId="0" fontId="83" fillId="0" borderId="15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87" fillId="0" borderId="2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 wrapText="1"/>
    </xf>
    <xf numFmtId="0" fontId="87" fillId="0" borderId="20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184" fontId="0" fillId="0" borderId="13" xfId="0" applyNumberFormat="1" applyFont="1" applyFill="1" applyBorder="1" applyAlignment="1">
      <alignment vertical="top" wrapText="1"/>
    </xf>
    <xf numFmtId="1" fontId="78" fillId="0" borderId="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84" fontId="78" fillId="0" borderId="0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184" fontId="78" fillId="0" borderId="27" xfId="0" applyNumberFormat="1" applyFont="1" applyFill="1" applyBorder="1" applyAlignment="1">
      <alignment horizontal="center" vertical="center" wrapText="1"/>
    </xf>
    <xf numFmtId="184" fontId="81" fillId="0" borderId="12" xfId="0" applyNumberFormat="1" applyFont="1" applyFill="1" applyBorder="1" applyAlignment="1">
      <alignment horizontal="center" vertical="center" wrapText="1"/>
    </xf>
    <xf numFmtId="1" fontId="83" fillId="0" borderId="15" xfId="0" applyNumberFormat="1" applyFont="1" applyFill="1" applyBorder="1" applyAlignment="1">
      <alignment horizontal="center" vertical="center" wrapText="1"/>
    </xf>
    <xf numFmtId="1" fontId="83" fillId="0" borderId="16" xfId="0" applyNumberFormat="1" applyFont="1" applyFill="1" applyBorder="1" applyAlignment="1">
      <alignment horizontal="center"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/>
    </xf>
    <xf numFmtId="0" fontId="3" fillId="0" borderId="16" xfId="0" applyFont="1" applyFill="1" applyBorder="1" applyAlignment="1">
      <alignment vertical="top" wrapText="1"/>
    </xf>
    <xf numFmtId="184" fontId="3" fillId="0" borderId="13" xfId="0" applyNumberFormat="1" applyFont="1" applyFill="1" applyBorder="1" applyAlignment="1">
      <alignment vertical="top" wrapText="1"/>
    </xf>
    <xf numFmtId="184" fontId="78" fillId="0" borderId="16" xfId="0" applyNumberFormat="1" applyFont="1" applyFill="1" applyBorder="1" applyAlignment="1">
      <alignment horizontal="center" vertical="center" wrapText="1"/>
    </xf>
    <xf numFmtId="184" fontId="10" fillId="0" borderId="11" xfId="0" applyNumberFormat="1" applyFont="1" applyFill="1" applyBorder="1" applyAlignment="1">
      <alignment horizontal="center" vertical="center" wrapText="1"/>
    </xf>
    <xf numFmtId="184" fontId="83" fillId="0" borderId="11" xfId="0" applyNumberFormat="1" applyFont="1" applyFill="1" applyBorder="1" applyAlignment="1">
      <alignment horizontal="center"/>
    </xf>
    <xf numFmtId="184" fontId="78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84" fontId="83" fillId="0" borderId="16" xfId="0" applyNumberFormat="1" applyFont="1" applyFill="1" applyBorder="1" applyAlignment="1">
      <alignment horizontal="center"/>
    </xf>
    <xf numFmtId="184" fontId="78" fillId="0" borderId="12" xfId="0" applyNumberFormat="1" applyFont="1" applyFill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 wrapText="1"/>
    </xf>
    <xf numFmtId="184" fontId="83" fillId="0" borderId="12" xfId="0" applyNumberFormat="1" applyFont="1" applyFill="1" applyBorder="1" applyAlignment="1">
      <alignment horizontal="center" vertical="center" wrapText="1"/>
    </xf>
    <xf numFmtId="184" fontId="87" fillId="0" borderId="13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184" fontId="83" fillId="0" borderId="20" xfId="0" applyNumberFormat="1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184" fontId="83" fillId="0" borderId="16" xfId="0" applyNumberFormat="1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184" fontId="83" fillId="0" borderId="15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top" wrapText="1"/>
    </xf>
    <xf numFmtId="0" fontId="79" fillId="0" borderId="16" xfId="0" applyFont="1" applyFill="1" applyBorder="1" applyAlignment="1">
      <alignment horizontal="left" vertical="top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184" fontId="83" fillId="0" borderId="15" xfId="0" applyNumberFormat="1" applyFont="1" applyFill="1" applyBorder="1" applyAlignment="1">
      <alignment horizontal="center" vertical="center" wrapText="1"/>
    </xf>
    <xf numFmtId="184" fontId="83" fillId="0" borderId="21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83" fillId="0" borderId="20" xfId="0" applyFont="1" applyFill="1" applyBorder="1" applyAlignment="1">
      <alignment horizontal="center" vertical="center" wrapText="1"/>
    </xf>
    <xf numFmtId="0" fontId="83" fillId="33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84" fontId="8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84" fontId="83" fillId="0" borderId="16" xfId="0" applyNumberFormat="1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78" fillId="0" borderId="20" xfId="0" applyFont="1" applyFill="1" applyBorder="1" applyAlignment="1">
      <alignment horizontal="center" vertical="center" wrapText="1"/>
    </xf>
    <xf numFmtId="0" fontId="78" fillId="0" borderId="25" xfId="0" applyFont="1" applyFill="1" applyBorder="1" applyAlignment="1">
      <alignment horizontal="center" vertical="center" wrapText="1"/>
    </xf>
    <xf numFmtId="0" fontId="78" fillId="0" borderId="21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left" vertical="center" wrapText="1"/>
    </xf>
    <xf numFmtId="0" fontId="79" fillId="0" borderId="16" xfId="0" applyFont="1" applyFill="1" applyBorder="1" applyAlignment="1">
      <alignment horizontal="left" vertical="center" wrapText="1"/>
    </xf>
    <xf numFmtId="0" fontId="79" fillId="0" borderId="1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9" xfId="0" applyFont="1" applyFill="1" applyBorder="1" applyAlignment="1">
      <alignment horizontal="center" vertical="center" wrapText="1"/>
    </xf>
    <xf numFmtId="184" fontId="83" fillId="0" borderId="15" xfId="0" applyNumberFormat="1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6" xfId="0" applyFont="1" applyFill="1" applyBorder="1" applyAlignment="1">
      <alignment vertical="center" wrapText="1"/>
    </xf>
    <xf numFmtId="0" fontId="79" fillId="0" borderId="15" xfId="0" applyFont="1" applyFill="1" applyBorder="1" applyAlignment="1">
      <alignment horizontal="justify" vertical="top" wrapText="1"/>
    </xf>
    <xf numFmtId="0" fontId="79" fillId="0" borderId="16" xfId="0" applyFont="1" applyFill="1" applyBorder="1" applyAlignment="1">
      <alignment horizontal="justify" vertical="top" wrapText="1"/>
    </xf>
    <xf numFmtId="0" fontId="77" fillId="0" borderId="15" xfId="0" applyFont="1" applyFill="1" applyBorder="1" applyAlignment="1">
      <alignment horizontal="left" wrapText="1"/>
    </xf>
    <xf numFmtId="0" fontId="77" fillId="0" borderId="16" xfId="0" applyFont="1" applyFill="1" applyBorder="1" applyAlignment="1">
      <alignment horizontal="left" wrapText="1"/>
    </xf>
    <xf numFmtId="184" fontId="10" fillId="0" borderId="13" xfId="0" applyNumberFormat="1" applyFont="1" applyFill="1" applyBorder="1" applyAlignment="1">
      <alignment horizontal="center" vertical="center" wrapText="1"/>
    </xf>
    <xf numFmtId="184" fontId="10" fillId="0" borderId="15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left" vertical="center" wrapText="1"/>
    </xf>
    <xf numFmtId="0" fontId="77" fillId="0" borderId="16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left" vertical="top" wrapText="1"/>
    </xf>
    <xf numFmtId="0" fontId="79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77" fillId="0" borderId="15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left" vertical="top" wrapText="1"/>
    </xf>
    <xf numFmtId="0" fontId="78" fillId="0" borderId="28" xfId="0" applyFont="1" applyFill="1" applyBorder="1" applyAlignment="1">
      <alignment horizontal="center" vertical="top" wrapText="1"/>
    </xf>
    <xf numFmtId="0" fontId="78" fillId="0" borderId="29" xfId="0" applyFont="1" applyFill="1" applyBorder="1" applyAlignment="1">
      <alignment horizontal="center" vertical="top" wrapText="1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78" fillId="0" borderId="30" xfId="0" applyFont="1" applyFill="1" applyBorder="1" applyAlignment="1">
      <alignment horizontal="center" vertical="top" wrapText="1"/>
    </xf>
    <xf numFmtId="0" fontId="78" fillId="0" borderId="31" xfId="0" applyFont="1" applyFill="1" applyBorder="1" applyAlignment="1">
      <alignment horizontal="center" vertical="top" wrapText="1"/>
    </xf>
    <xf numFmtId="0" fontId="77" fillId="0" borderId="17" xfId="0" applyFont="1" applyFill="1" applyBorder="1" applyAlignment="1">
      <alignment horizontal="left" vertical="top" wrapText="1"/>
    </xf>
    <xf numFmtId="0" fontId="77" fillId="0" borderId="18" xfId="0" applyFont="1" applyFill="1" applyBorder="1" applyAlignment="1">
      <alignment horizontal="left" vertical="top" wrapText="1"/>
    </xf>
    <xf numFmtId="0" fontId="77" fillId="0" borderId="16" xfId="0" applyFont="1" applyFill="1" applyBorder="1" applyAlignment="1">
      <alignment horizontal="center" vertical="top" wrapText="1"/>
    </xf>
    <xf numFmtId="0" fontId="83" fillId="0" borderId="20" xfId="0" applyFont="1" applyFill="1" applyBorder="1" applyAlignment="1">
      <alignment horizontal="center" vertical="center" wrapText="1"/>
    </xf>
    <xf numFmtId="0" fontId="89" fillId="0" borderId="12" xfId="0" applyFont="1" applyFill="1" applyBorder="1" applyAlignment="1">
      <alignment horizontal="center" vertical="top" wrapText="1"/>
    </xf>
    <xf numFmtId="0" fontId="89" fillId="0" borderId="19" xfId="0" applyFont="1" applyFill="1" applyBorder="1" applyAlignment="1">
      <alignment horizontal="center" vertical="top" wrapText="1"/>
    </xf>
    <xf numFmtId="0" fontId="77" fillId="0" borderId="12" xfId="0" applyFont="1" applyFill="1" applyBorder="1" applyAlignment="1">
      <alignment horizontal="center" vertical="top" wrapText="1"/>
    </xf>
    <xf numFmtId="0" fontId="83" fillId="0" borderId="15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justify" vertical="top" wrapText="1"/>
    </xf>
    <xf numFmtId="0" fontId="79" fillId="0" borderId="21" xfId="0" applyFont="1" applyFill="1" applyBorder="1" applyAlignment="1">
      <alignment horizontal="justify" vertical="top" wrapText="1"/>
    </xf>
    <xf numFmtId="0" fontId="77" fillId="0" borderId="32" xfId="0" applyFont="1" applyFill="1" applyBorder="1" applyAlignment="1">
      <alignment horizontal="center" vertical="top" wrapText="1"/>
    </xf>
    <xf numFmtId="0" fontId="77" fillId="0" borderId="33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79" fillId="0" borderId="15" xfId="0" applyFont="1" applyFill="1" applyBorder="1" applyAlignment="1">
      <alignment horizontal="left" vertical="center"/>
    </xf>
    <xf numFmtId="0" fontId="79" fillId="0" borderId="16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94" fillId="0" borderId="0" xfId="0" applyFont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/>
    </xf>
    <xf numFmtId="0" fontId="87" fillId="33" borderId="13" xfId="0" applyFont="1" applyFill="1" applyBorder="1" applyAlignment="1">
      <alignment horizontal="center" vertical="center" wrapText="1"/>
    </xf>
    <xf numFmtId="0" fontId="95" fillId="0" borderId="13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/>
    </xf>
    <xf numFmtId="0" fontId="87" fillId="33" borderId="13" xfId="0" applyFont="1" applyFill="1" applyBorder="1" applyAlignment="1">
      <alignment horizontal="center" vertical="center"/>
    </xf>
    <xf numFmtId="0" fontId="95" fillId="33" borderId="13" xfId="0" applyFont="1" applyFill="1" applyBorder="1" applyAlignment="1">
      <alignment horizontal="center"/>
    </xf>
    <xf numFmtId="0" fontId="91" fillId="33" borderId="13" xfId="0" applyFont="1" applyFill="1" applyBorder="1" applyAlignment="1">
      <alignment horizontal="center"/>
    </xf>
    <xf numFmtId="0" fontId="83" fillId="32" borderId="13" xfId="0" applyFont="1" applyFill="1" applyBorder="1" applyAlignment="1">
      <alignment horizontal="center" vertical="center" wrapText="1"/>
    </xf>
    <xf numFmtId="17" fontId="83" fillId="0" borderId="20" xfId="0" applyNumberFormat="1" applyFont="1" applyFill="1" applyBorder="1" applyAlignment="1">
      <alignment horizontal="center" vertical="center" wrapText="1"/>
    </xf>
    <xf numFmtId="17" fontId="83" fillId="32" borderId="13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17" fontId="83" fillId="0" borderId="13" xfId="0" applyNumberFormat="1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74"/>
  <sheetViews>
    <sheetView tabSelected="1" view="pageBreakPreview" zoomScale="99" zoomScaleNormal="70" zoomScaleSheetLayoutView="99" zoomScalePageLayoutView="70" workbookViewId="0" topLeftCell="A427">
      <selection activeCell="H386" sqref="H386"/>
    </sheetView>
  </sheetViews>
  <sheetFormatPr defaultColWidth="9.140625" defaultRowHeight="12.75"/>
  <cols>
    <col min="1" max="1" width="16.140625" style="6" customWidth="1"/>
    <col min="2" max="2" width="15.421875" style="3" customWidth="1"/>
    <col min="3" max="3" width="25.8515625" style="4" customWidth="1"/>
    <col min="4" max="4" width="70.421875" style="4" customWidth="1"/>
    <col min="5" max="5" width="29.00390625" style="3" customWidth="1"/>
    <col min="6" max="6" width="9.140625" style="1" hidden="1" customWidth="1"/>
    <col min="7" max="7" width="87.421875" style="1" hidden="1" customWidth="1"/>
    <col min="8" max="8" width="159.57421875" style="107" customWidth="1"/>
    <col min="9" max="18" width="9.140625" style="1" hidden="1" customWidth="1"/>
    <col min="19" max="20" width="9.140625" style="1" customWidth="1"/>
    <col min="21" max="16384" width="9.140625" style="1" customWidth="1"/>
  </cols>
  <sheetData>
    <row r="1" spans="1:5" ht="27" customHeight="1">
      <c r="A1" s="379" t="s">
        <v>72</v>
      </c>
      <c r="B1" s="380"/>
      <c r="C1" s="380"/>
      <c r="D1" s="380"/>
      <c r="E1" s="380"/>
    </row>
    <row r="2" spans="1:4" ht="19.5" customHeight="1">
      <c r="A2" s="381" t="s">
        <v>9</v>
      </c>
      <c r="B2" s="382"/>
      <c r="C2" s="382"/>
      <c r="D2" s="5" t="s">
        <v>443</v>
      </c>
    </row>
    <row r="3" spans="1:4" ht="16.5" customHeight="1">
      <c r="A3" s="381" t="s">
        <v>10</v>
      </c>
      <c r="B3" s="382"/>
      <c r="C3" s="382"/>
      <c r="D3" s="5" t="s">
        <v>444</v>
      </c>
    </row>
    <row r="4" spans="1:6" ht="31.5" customHeight="1">
      <c r="A4" s="353" t="s">
        <v>234</v>
      </c>
      <c r="B4" s="354"/>
      <c r="C4" s="354"/>
      <c r="D4" s="354"/>
      <c r="E4" s="354"/>
      <c r="F4" s="1">
        <v>5.857</v>
      </c>
    </row>
    <row r="5" spans="1:6" ht="19.5" customHeight="1">
      <c r="A5" s="383" t="s">
        <v>0</v>
      </c>
      <c r="B5" s="384"/>
      <c r="C5" s="384"/>
      <c r="D5" s="384"/>
      <c r="E5" s="66" t="s">
        <v>7</v>
      </c>
      <c r="F5" s="136"/>
    </row>
    <row r="6" spans="1:8" ht="17.25" customHeight="1">
      <c r="A6" s="322" t="s">
        <v>74</v>
      </c>
      <c r="B6" s="323"/>
      <c r="C6" s="329" t="s">
        <v>145</v>
      </c>
      <c r="D6" s="329"/>
      <c r="E6" s="244">
        <v>4.044</v>
      </c>
      <c r="F6" s="1">
        <v>3.799</v>
      </c>
      <c r="H6" s="99" t="str">
        <f>CONCATENATE("Aluminium Conductor Steel Reinforced scrap, Lying at ",C6,". Quantity in MT - ",E6,)</f>
        <v>Aluminium Conductor Steel Reinforced scrap, Lying at Outlet store Shri Muktsar sahib. Quantity in MT - 4.044</v>
      </c>
    </row>
    <row r="7" spans="1:8" ht="17.25" customHeight="1">
      <c r="A7" s="322" t="s">
        <v>114</v>
      </c>
      <c r="B7" s="323"/>
      <c r="C7" s="329" t="s">
        <v>201</v>
      </c>
      <c r="D7" s="329"/>
      <c r="E7" s="241">
        <v>12.993</v>
      </c>
      <c r="F7" s="1">
        <v>9.654</v>
      </c>
      <c r="H7" s="99" t="str">
        <f aca="true" t="shared" si="0" ref="H7:H23">CONCATENATE("Aluminium Conductor Steel Reinforced scrap, Lying at ",C7,". Quantity in MT - ",E7,)</f>
        <v>Aluminium Conductor Steel Reinforced scrap, Lying at CS Kotkapura  (.237 MT Intermingle). Quantity in MT - 12.993</v>
      </c>
    </row>
    <row r="8" spans="1:8" ht="17.25" customHeight="1">
      <c r="A8" s="322" t="s">
        <v>161</v>
      </c>
      <c r="B8" s="323"/>
      <c r="C8" s="329" t="s">
        <v>179</v>
      </c>
      <c r="D8" s="329"/>
      <c r="E8" s="173">
        <v>6.904</v>
      </c>
      <c r="F8" s="1">
        <v>5.721</v>
      </c>
      <c r="G8" s="136"/>
      <c r="H8" s="99" t="str">
        <f t="shared" si="0"/>
        <v>Aluminium Conductor Steel Reinforced scrap, Lying at Outlet store Malerkotla. Quantity in MT - 6.904</v>
      </c>
    </row>
    <row r="9" spans="1:8" ht="17.25" customHeight="1">
      <c r="A9" s="322" t="s">
        <v>178</v>
      </c>
      <c r="B9" s="323"/>
      <c r="C9" s="320" t="s">
        <v>231</v>
      </c>
      <c r="D9" s="320"/>
      <c r="E9" s="47">
        <v>3.911</v>
      </c>
      <c r="G9" s="107"/>
      <c r="H9" s="99" t="str">
        <f t="shared" si="0"/>
        <v>Aluminium Conductor Steel Reinforced scrap, Lying at Outlet store Nabha. Quantity in MT - 3.911</v>
      </c>
    </row>
    <row r="10" spans="1:8" ht="17.25" customHeight="1">
      <c r="A10" s="322" t="s">
        <v>162</v>
      </c>
      <c r="B10" s="323"/>
      <c r="C10" s="329" t="s">
        <v>186</v>
      </c>
      <c r="D10" s="329"/>
      <c r="E10" s="259">
        <v>13.855</v>
      </c>
      <c r="F10" s="1">
        <v>7.78</v>
      </c>
      <c r="H10" s="99" t="str">
        <f t="shared" si="0"/>
        <v>Aluminium Conductor Steel Reinforced scrap, Lying at Outlet store Mansa. Quantity in MT - 13.855</v>
      </c>
    </row>
    <row r="11" spans="1:8" ht="17.25" customHeight="1">
      <c r="A11" s="322" t="s">
        <v>180</v>
      </c>
      <c r="B11" s="323"/>
      <c r="C11" s="320" t="s">
        <v>290</v>
      </c>
      <c r="D11" s="320"/>
      <c r="E11" s="47">
        <v>4.958</v>
      </c>
      <c r="H11" s="99" t="str">
        <f t="shared" si="0"/>
        <v>Aluminium Conductor Steel Reinforced scrap, Lying at CS Mohali (.314 MT intermingle). Quantity in MT - 4.958</v>
      </c>
    </row>
    <row r="12" spans="1:8" ht="17.25" customHeight="1">
      <c r="A12" s="322" t="s">
        <v>163</v>
      </c>
      <c r="B12" s="323"/>
      <c r="C12" s="320" t="s">
        <v>185</v>
      </c>
      <c r="D12" s="320"/>
      <c r="E12" s="47">
        <v>4.567</v>
      </c>
      <c r="H12" s="99" t="str">
        <f t="shared" si="0"/>
        <v>Aluminium Conductor Steel Reinforced scrap, Lying at Outlet store Ropar. Quantity in MT - 4.567</v>
      </c>
    </row>
    <row r="13" spans="1:8" ht="17.25" customHeight="1">
      <c r="A13" s="322" t="s">
        <v>202</v>
      </c>
      <c r="B13" s="323"/>
      <c r="C13" s="329" t="s">
        <v>264</v>
      </c>
      <c r="D13" s="329"/>
      <c r="E13" s="259">
        <v>1.876</v>
      </c>
      <c r="F13" s="1">
        <v>0.857</v>
      </c>
      <c r="H13" s="99" t="str">
        <f t="shared" si="0"/>
        <v>Aluminium Conductor Steel Reinforced scrap, Lying at Outlet store Fazilka. Quantity in MT - 1.876</v>
      </c>
    </row>
    <row r="14" spans="1:8" ht="17.25" customHeight="1">
      <c r="A14" s="322" t="s">
        <v>183</v>
      </c>
      <c r="B14" s="323"/>
      <c r="C14" s="329" t="s">
        <v>546</v>
      </c>
      <c r="D14" s="329"/>
      <c r="E14" s="259">
        <v>5.991</v>
      </c>
      <c r="F14" s="1">
        <v>3.765</v>
      </c>
      <c r="G14" s="136" t="s">
        <v>545</v>
      </c>
      <c r="H14" s="99" t="str">
        <f t="shared" si="0"/>
        <v>Aluminium Conductor Steel Reinforced scrap, Lying at CS Bathinda (.134 MT intermingle). Quantity in MT - 5.991</v>
      </c>
    </row>
    <row r="15" spans="1:8" ht="17.25" customHeight="1">
      <c r="A15" s="322" t="s">
        <v>184</v>
      </c>
      <c r="B15" s="323"/>
      <c r="C15" s="396" t="s">
        <v>294</v>
      </c>
      <c r="D15" s="396"/>
      <c r="E15" s="288">
        <v>3.368</v>
      </c>
      <c r="H15" s="99" t="str">
        <f t="shared" si="0"/>
        <v>Aluminium Conductor Steel Reinforced scrap, Lying at Outlet store Bhagta Bhai Ka. Quantity in MT - 3.368</v>
      </c>
    </row>
    <row r="16" spans="1:8" ht="17.25" customHeight="1">
      <c r="A16" s="322" t="s">
        <v>204</v>
      </c>
      <c r="B16" s="323"/>
      <c r="C16" s="329" t="s">
        <v>79</v>
      </c>
      <c r="D16" s="329"/>
      <c r="E16" s="244">
        <v>6.326</v>
      </c>
      <c r="F16" s="1">
        <v>4.074</v>
      </c>
      <c r="H16" s="99" t="str">
        <f t="shared" si="0"/>
        <v>Aluminium Conductor Steel Reinforced scrap, Lying at CS Sangrur. Quantity in MT - 6.326</v>
      </c>
    </row>
    <row r="17" spans="1:8" ht="17.25" customHeight="1">
      <c r="A17" s="322" t="s">
        <v>269</v>
      </c>
      <c r="B17" s="323"/>
      <c r="C17" s="329" t="s">
        <v>181</v>
      </c>
      <c r="D17" s="329"/>
      <c r="E17" s="259">
        <v>3.726</v>
      </c>
      <c r="F17" s="1">
        <v>1.593</v>
      </c>
      <c r="H17" s="99" t="str">
        <f t="shared" si="0"/>
        <v>Aluminium Conductor Steel Reinforced scrap, Lying at Outlet store Patran. Quantity in MT - 3.726</v>
      </c>
    </row>
    <row r="18" spans="1:8" ht="17.25" customHeight="1">
      <c r="A18" s="322" t="s">
        <v>320</v>
      </c>
      <c r="B18" s="323"/>
      <c r="C18" s="329" t="s">
        <v>182</v>
      </c>
      <c r="D18" s="329"/>
      <c r="E18" s="259">
        <v>5.076</v>
      </c>
      <c r="F18" s="1">
        <v>1.55</v>
      </c>
      <c r="H18" s="99" t="str">
        <f t="shared" si="0"/>
        <v>Aluminium Conductor Steel Reinforced scrap, Lying at Outlet store Barnala. Quantity in MT - 5.076</v>
      </c>
    </row>
    <row r="19" spans="1:8" ht="17.25" customHeight="1">
      <c r="A19" s="322" t="s">
        <v>321</v>
      </c>
      <c r="B19" s="323"/>
      <c r="C19" s="322" t="s">
        <v>324</v>
      </c>
      <c r="D19" s="331"/>
      <c r="E19" s="47">
        <v>27.403</v>
      </c>
      <c r="H19" s="99" t="str">
        <f t="shared" si="0"/>
        <v>Aluminium Conductor Steel Reinforced scrap, Lying at S &amp; T Store Bathinda ( .465 MT intermingle ). Quantity in MT - 27.403</v>
      </c>
    </row>
    <row r="20" spans="1:8" ht="17.25" customHeight="1">
      <c r="A20" s="322" t="s">
        <v>325</v>
      </c>
      <c r="B20" s="323"/>
      <c r="C20" s="329" t="s">
        <v>95</v>
      </c>
      <c r="D20" s="400"/>
      <c r="E20" s="259">
        <v>7.153</v>
      </c>
      <c r="F20" s="1">
        <v>1.875</v>
      </c>
      <c r="H20" s="99" t="str">
        <f t="shared" si="0"/>
        <v>Aluminium Conductor Steel Reinforced scrap, Lying at CS Malout. Quantity in MT - 7.153</v>
      </c>
    </row>
    <row r="21" spans="1:8" ht="17.25" customHeight="1">
      <c r="A21" s="322" t="s">
        <v>326</v>
      </c>
      <c r="B21" s="323"/>
      <c r="C21" s="320" t="s">
        <v>334</v>
      </c>
      <c r="D21" s="322"/>
      <c r="E21" s="47">
        <v>4.645</v>
      </c>
      <c r="F21" s="136"/>
      <c r="H21" s="99" t="str">
        <f t="shared" si="0"/>
        <v>Aluminium Conductor Steel Reinforced scrap, Lying at CS Patiala (.025 MT intermingle ). Quantity in MT - 4.645</v>
      </c>
    </row>
    <row r="22" spans="1:8" ht="17.25" customHeight="1">
      <c r="A22" s="322" t="s">
        <v>327</v>
      </c>
      <c r="B22" s="323"/>
      <c r="C22" s="396" t="s">
        <v>268</v>
      </c>
      <c r="D22" s="396"/>
      <c r="E22" s="288">
        <v>5.611</v>
      </c>
      <c r="F22" s="136">
        <v>2.037</v>
      </c>
      <c r="H22" s="99" t="str">
        <f t="shared" si="0"/>
        <v>Aluminium Conductor Steel Reinforced scrap, Lying at Outlet store Moga. Quantity in MT - 5.611</v>
      </c>
    </row>
    <row r="23" spans="1:8" ht="17.25" customHeight="1" thickBot="1">
      <c r="A23" s="322" t="s">
        <v>476</v>
      </c>
      <c r="B23" s="323"/>
      <c r="C23" s="329" t="s">
        <v>475</v>
      </c>
      <c r="D23" s="329"/>
      <c r="E23" s="244">
        <v>1.966</v>
      </c>
      <c r="F23" s="136" t="s">
        <v>322</v>
      </c>
      <c r="H23" s="100" t="str">
        <f t="shared" si="0"/>
        <v>Aluminium Conductor Steel Reinforced scrap, Lying at CS Ferozepur (.015 MT Intermingle). Quantity in MT - 1.966</v>
      </c>
    </row>
    <row r="24" spans="1:5" ht="17.25" customHeight="1" thickBot="1">
      <c r="A24" s="391" t="s">
        <v>113</v>
      </c>
      <c r="B24" s="392"/>
      <c r="C24" s="399"/>
      <c r="D24" s="399"/>
      <c r="E24" s="140">
        <f>SUM(E6:E23)</f>
        <v>124.37299999999999</v>
      </c>
    </row>
    <row r="25" spans="1:5" ht="17.25" customHeight="1">
      <c r="A25" s="188"/>
      <c r="B25" s="188"/>
      <c r="C25" s="183"/>
      <c r="D25" s="183"/>
      <c r="E25" s="189"/>
    </row>
    <row r="26" spans="1:5" ht="17.25" customHeight="1">
      <c r="A26" s="393" t="s">
        <v>383</v>
      </c>
      <c r="B26" s="394"/>
      <c r="C26" s="394"/>
      <c r="D26" s="394"/>
      <c r="E26" s="66" t="s">
        <v>7</v>
      </c>
    </row>
    <row r="27" spans="1:8" ht="17.25" customHeight="1">
      <c r="A27" s="320" t="s">
        <v>384</v>
      </c>
      <c r="B27" s="320"/>
      <c r="C27" s="320" t="s">
        <v>268</v>
      </c>
      <c r="D27" s="320"/>
      <c r="E27" s="74">
        <v>0.431</v>
      </c>
      <c r="H27" s="99" t="str">
        <f>CONCATENATE("LT ABC Cable scrap without insulation, Lying at ",C27,". Quantity in MT - ",E27,)</f>
        <v>LT ABC Cable scrap without insulation, Lying at Outlet store Moga. Quantity in MT - 0.431</v>
      </c>
    </row>
    <row r="28" spans="1:8" ht="17.25" customHeight="1" thickBot="1">
      <c r="A28" s="350" t="s">
        <v>438</v>
      </c>
      <c r="B28" s="351"/>
      <c r="C28" s="322" t="s">
        <v>232</v>
      </c>
      <c r="D28" s="323"/>
      <c r="E28" s="221">
        <v>1.058</v>
      </c>
      <c r="H28" s="99" t="str">
        <f>CONCATENATE("LT ABC Cable scrap without insulation, Lying at ",C28,". Quantity in MT - ",E28,)</f>
        <v>LT ABC Cable scrap without insulation, Lying at Outlet store Rajpura. Quantity in MT - 1.058</v>
      </c>
    </row>
    <row r="29" spans="1:5" ht="17.25" customHeight="1" thickBot="1">
      <c r="A29" s="385" t="s">
        <v>113</v>
      </c>
      <c r="B29" s="386"/>
      <c r="C29" s="395"/>
      <c r="D29" s="395"/>
      <c r="E29" s="205">
        <f>E27+E28</f>
        <v>1.489</v>
      </c>
    </row>
    <row r="30" spans="1:5" ht="17.25" customHeight="1">
      <c r="A30" s="138"/>
      <c r="B30" s="138"/>
      <c r="C30" s="139"/>
      <c r="D30" s="397"/>
      <c r="E30" s="398"/>
    </row>
    <row r="31" spans="1:5" ht="17.25" customHeight="1">
      <c r="A31" s="383" t="s">
        <v>12</v>
      </c>
      <c r="B31" s="384"/>
      <c r="C31" s="384"/>
      <c r="D31" s="384"/>
      <c r="E31" s="66" t="s">
        <v>7</v>
      </c>
    </row>
    <row r="32" spans="1:8" ht="17.25" customHeight="1">
      <c r="A32" s="322" t="s">
        <v>73</v>
      </c>
      <c r="B32" s="323"/>
      <c r="C32" s="320" t="s">
        <v>28</v>
      </c>
      <c r="D32" s="320"/>
      <c r="E32" s="74">
        <v>8.316</v>
      </c>
      <c r="H32" s="99" t="str">
        <f aca="true" t="shared" si="1" ref="H32:H44">CONCATENATE("Damaged Distribution Transformer's HT/LT Aluminium coils scrap with insulation, Lying at ",C32,". Quantity in MT - ",E32,)</f>
        <v>Damaged Distribution Transformer's HT/LT Aluminium coils scrap with insulation, Lying at TRY Malerkotla. Quantity in MT - 8.316</v>
      </c>
    </row>
    <row r="33" spans="1:8" ht="17.25" customHeight="1">
      <c r="A33" s="322" t="s">
        <v>122</v>
      </c>
      <c r="B33" s="323"/>
      <c r="C33" s="320" t="s">
        <v>136</v>
      </c>
      <c r="D33" s="320"/>
      <c r="E33" s="74">
        <v>14.066</v>
      </c>
      <c r="H33" s="99" t="str">
        <f t="shared" si="1"/>
        <v>Damaged Distribution Transformer's HT/LT Aluminium coils scrap with insulation, Lying at TRY Patran. Quantity in MT - 14.066</v>
      </c>
    </row>
    <row r="34" spans="1:8" ht="17.25" customHeight="1">
      <c r="A34" s="322" t="s">
        <v>123</v>
      </c>
      <c r="B34" s="323"/>
      <c r="C34" s="320" t="s">
        <v>249</v>
      </c>
      <c r="D34" s="320"/>
      <c r="E34" s="74">
        <v>10.362</v>
      </c>
      <c r="H34" s="99" t="str">
        <f t="shared" si="1"/>
        <v>Damaged Distribution Transformer's HT/LT Aluminium coils scrap with insulation, Lying at TRY Kotkapura. Quantity in MT - 10.362</v>
      </c>
    </row>
    <row r="35" spans="1:8" ht="17.25" customHeight="1">
      <c r="A35" s="322" t="s">
        <v>205</v>
      </c>
      <c r="B35" s="323"/>
      <c r="C35" s="320" t="s">
        <v>249</v>
      </c>
      <c r="D35" s="320"/>
      <c r="E35" s="74">
        <v>10</v>
      </c>
      <c r="H35" s="99" t="str">
        <f t="shared" si="1"/>
        <v>Damaged Distribution Transformer's HT/LT Aluminium coils scrap with insulation, Lying at TRY Kotkapura. Quantity in MT - 10</v>
      </c>
    </row>
    <row r="36" spans="1:8" ht="17.25" customHeight="1">
      <c r="A36" s="322" t="s">
        <v>158</v>
      </c>
      <c r="B36" s="323"/>
      <c r="C36" s="320" t="s">
        <v>249</v>
      </c>
      <c r="D36" s="320"/>
      <c r="E36" s="74">
        <v>10</v>
      </c>
      <c r="H36" s="99" t="str">
        <f t="shared" si="1"/>
        <v>Damaged Distribution Transformer's HT/LT Aluminium coils scrap with insulation, Lying at TRY Kotkapura. Quantity in MT - 10</v>
      </c>
    </row>
    <row r="37" spans="1:8" ht="17.25" customHeight="1">
      <c r="A37" s="322" t="s">
        <v>187</v>
      </c>
      <c r="B37" s="323"/>
      <c r="C37" s="329" t="s">
        <v>164</v>
      </c>
      <c r="D37" s="329"/>
      <c r="E37" s="232">
        <v>23.906</v>
      </c>
      <c r="F37" s="1">
        <v>14.532</v>
      </c>
      <c r="H37" s="99" t="str">
        <f t="shared" si="1"/>
        <v>Damaged Distribution Transformer's HT/LT Aluminium coils scrap with insulation, Lying at TRY Malout. Quantity in MT - 23.906</v>
      </c>
    </row>
    <row r="38" spans="1:8" ht="17.25" customHeight="1">
      <c r="A38" s="322" t="s">
        <v>250</v>
      </c>
      <c r="B38" s="323"/>
      <c r="C38" s="329" t="s">
        <v>166</v>
      </c>
      <c r="D38" s="329"/>
      <c r="E38" s="232">
        <v>44.64</v>
      </c>
      <c r="H38" s="99" t="str">
        <f t="shared" si="1"/>
        <v>Damaged Distribution Transformer's HT/LT Aluminium coils scrap with insulation, Lying at TRY Mansa. Quantity in MT - 44.64</v>
      </c>
    </row>
    <row r="39" spans="1:8" ht="17.25" customHeight="1">
      <c r="A39" s="322" t="s">
        <v>165</v>
      </c>
      <c r="B39" s="323"/>
      <c r="C39" s="320" t="s">
        <v>222</v>
      </c>
      <c r="D39" s="320"/>
      <c r="E39" s="74">
        <v>4.858</v>
      </c>
      <c r="H39" s="99" t="str">
        <f t="shared" si="1"/>
        <v>Damaged Distribution Transformer's HT/LT Aluminium coils scrap with insulation, Lying at TRY Moga. Quantity in MT - 4.858</v>
      </c>
    </row>
    <row r="40" spans="1:8" ht="17.25" customHeight="1">
      <c r="A40" s="322" t="s">
        <v>252</v>
      </c>
      <c r="B40" s="323"/>
      <c r="C40" s="320" t="s">
        <v>143</v>
      </c>
      <c r="D40" s="320"/>
      <c r="E40" s="74">
        <v>3.352</v>
      </c>
      <c r="H40" s="99" t="str">
        <f t="shared" si="1"/>
        <v>Damaged Distribution Transformer's HT/LT Aluminium coils scrap with insulation, Lying at TRY Ropar. Quantity in MT - 3.352</v>
      </c>
    </row>
    <row r="41" spans="1:8" ht="17.25" customHeight="1">
      <c r="A41" s="322" t="s">
        <v>265</v>
      </c>
      <c r="B41" s="323"/>
      <c r="C41" s="329" t="s">
        <v>36</v>
      </c>
      <c r="D41" s="329"/>
      <c r="E41" s="232">
        <v>6.98</v>
      </c>
      <c r="H41" s="99" t="str">
        <f t="shared" si="1"/>
        <v>Damaged Distribution Transformer's HT/LT Aluminium coils scrap with insulation, Lying at TRY Bathinda. Quantity in MT - 6.98</v>
      </c>
    </row>
    <row r="42" spans="1:8" ht="17.25" customHeight="1">
      <c r="A42" s="322" t="s">
        <v>508</v>
      </c>
      <c r="B42" s="323"/>
      <c r="C42" s="329" t="s">
        <v>120</v>
      </c>
      <c r="D42" s="329"/>
      <c r="E42" s="232">
        <v>6.677</v>
      </c>
      <c r="F42" s="1" t="s">
        <v>322</v>
      </c>
      <c r="H42" s="99" t="str">
        <f t="shared" si="1"/>
        <v>Damaged Distribution Transformer's HT/LT Aluminium coils scrap with insulation, Lying at TRY Patiala. Quantity in MT - 6.677</v>
      </c>
    </row>
    <row r="43" spans="1:8" ht="17.25" customHeight="1">
      <c r="A43" s="322" t="s">
        <v>555</v>
      </c>
      <c r="B43" s="323"/>
      <c r="C43" s="324" t="s">
        <v>135</v>
      </c>
      <c r="D43" s="324"/>
      <c r="E43" s="232">
        <v>18.99</v>
      </c>
      <c r="F43" s="1" t="s">
        <v>322</v>
      </c>
      <c r="H43" s="99" t="str">
        <f t="shared" si="1"/>
        <v>Damaged Distribution Transformer's HT/LT Aluminium coils scrap with insulation, Lying at TRY Sangrur. Quantity in MT - 18.99</v>
      </c>
    </row>
    <row r="44" spans="1:8" ht="17.25" customHeight="1" thickBot="1">
      <c r="A44" s="322" t="s">
        <v>557</v>
      </c>
      <c r="B44" s="323"/>
      <c r="C44" s="324" t="s">
        <v>132</v>
      </c>
      <c r="D44" s="324"/>
      <c r="E44" s="232">
        <v>17.16</v>
      </c>
      <c r="H44" s="99" t="str">
        <f t="shared" si="1"/>
        <v>Damaged Distribution Transformer's HT/LT Aluminium coils scrap with insulation, Lying at TRY Bhagta Bhai Ka. Quantity in MT - 17.16</v>
      </c>
    </row>
    <row r="45" spans="1:5" ht="17.25" customHeight="1" thickBot="1">
      <c r="A45" s="385" t="s">
        <v>113</v>
      </c>
      <c r="B45" s="386"/>
      <c r="C45" s="403"/>
      <c r="D45" s="404"/>
      <c r="E45" s="140">
        <f>SUM(E32:E44)</f>
        <v>179.307</v>
      </c>
    </row>
    <row r="46" spans="1:8" ht="17.25" customHeight="1">
      <c r="A46" s="387"/>
      <c r="B46" s="387"/>
      <c r="C46" s="387"/>
      <c r="D46" s="387"/>
      <c r="E46" s="388"/>
      <c r="H46" s="125"/>
    </row>
    <row r="47" spans="1:5" ht="17.25" customHeight="1">
      <c r="A47" s="401" t="s">
        <v>107</v>
      </c>
      <c r="B47" s="401"/>
      <c r="C47" s="401"/>
      <c r="D47" s="401"/>
      <c r="E47" s="402"/>
    </row>
    <row r="48" spans="1:5" ht="17.25" customHeight="1">
      <c r="A48" s="389" t="s">
        <v>584</v>
      </c>
      <c r="B48" s="390"/>
      <c r="C48" s="390"/>
      <c r="D48" s="390"/>
      <c r="E48" s="390"/>
    </row>
    <row r="49" spans="1:5" ht="17.25" customHeight="1">
      <c r="A49" s="94"/>
      <c r="B49" s="95"/>
      <c r="C49" s="95"/>
      <c r="D49" s="95"/>
      <c r="E49" s="95"/>
    </row>
    <row r="50" spans="1:8" ht="29.25" customHeight="1">
      <c r="A50" s="322" t="s">
        <v>244</v>
      </c>
      <c r="B50" s="331"/>
      <c r="C50" s="331"/>
      <c r="D50" s="331"/>
      <c r="E50" s="323"/>
      <c r="F50" s="1">
        <f>B65+B79+B91+B105+B120+B133+B141+B155+B168+B188+B201+B215+B235+B257+B270</f>
        <v>892</v>
      </c>
      <c r="H50" s="107">
        <f>B65+B79+B91+B105+B120+B133+B141+B155+B168+B188+B201+B215+B235+B257+B270</f>
        <v>892</v>
      </c>
    </row>
    <row r="51" spans="1:5" ht="24.75" customHeight="1">
      <c r="A51" s="24" t="s">
        <v>212</v>
      </c>
      <c r="B51" s="24" t="s">
        <v>213</v>
      </c>
      <c r="C51" s="24" t="s">
        <v>214</v>
      </c>
      <c r="D51" s="24" t="s">
        <v>215</v>
      </c>
      <c r="E51" s="89" t="s">
        <v>216</v>
      </c>
    </row>
    <row r="52" spans="1:6" ht="17.25" customHeight="1">
      <c r="A52" s="341" t="s">
        <v>217</v>
      </c>
      <c r="B52" s="342"/>
      <c r="C52" s="343"/>
      <c r="D52" s="73"/>
      <c r="E52" s="86"/>
      <c r="F52" s="1">
        <f>B53+B54+B55+B56+B57+B59+B60+B61+B62+B63</f>
        <v>249</v>
      </c>
    </row>
    <row r="53" spans="1:5" ht="17.25" customHeight="1">
      <c r="A53" s="127">
        <v>90</v>
      </c>
      <c r="B53" s="128">
        <v>27</v>
      </c>
      <c r="C53" s="128" t="s">
        <v>218</v>
      </c>
      <c r="D53" s="127" t="s">
        <v>219</v>
      </c>
      <c r="E53" s="128">
        <v>1301</v>
      </c>
    </row>
    <row r="54" spans="1:5" ht="17.25" customHeight="1">
      <c r="A54" s="127">
        <v>91</v>
      </c>
      <c r="B54" s="128">
        <v>25</v>
      </c>
      <c r="C54" s="128" t="s">
        <v>218</v>
      </c>
      <c r="D54" s="127" t="s">
        <v>220</v>
      </c>
      <c r="E54" s="128">
        <v>1214</v>
      </c>
    </row>
    <row r="55" spans="1:5" ht="17.25" customHeight="1">
      <c r="A55" s="127">
        <v>92</v>
      </c>
      <c r="B55" s="128">
        <v>14</v>
      </c>
      <c r="C55" s="128" t="s">
        <v>218</v>
      </c>
      <c r="D55" s="127" t="s">
        <v>221</v>
      </c>
      <c r="E55" s="128">
        <v>678</v>
      </c>
    </row>
    <row r="56" spans="1:5" ht="17.25" customHeight="1">
      <c r="A56" s="127">
        <v>93</v>
      </c>
      <c r="B56" s="128">
        <v>25</v>
      </c>
      <c r="C56" s="128" t="s">
        <v>218</v>
      </c>
      <c r="D56" s="127" t="s">
        <v>226</v>
      </c>
      <c r="E56" s="128">
        <v>1201</v>
      </c>
    </row>
    <row r="57" spans="1:5" ht="17.25" customHeight="1">
      <c r="A57" s="127">
        <v>94</v>
      </c>
      <c r="B57" s="128">
        <v>18</v>
      </c>
      <c r="C57" s="128" t="s">
        <v>218</v>
      </c>
      <c r="D57" s="127" t="s">
        <v>227</v>
      </c>
      <c r="E57" s="128">
        <v>835</v>
      </c>
    </row>
    <row r="58" spans="1:5" ht="75.75" customHeight="1">
      <c r="A58" s="127">
        <v>95</v>
      </c>
      <c r="B58" s="128">
        <v>20</v>
      </c>
      <c r="C58" s="143" t="s">
        <v>242</v>
      </c>
      <c r="D58" s="133" t="s">
        <v>259</v>
      </c>
      <c r="E58" s="132">
        <v>4276</v>
      </c>
    </row>
    <row r="59" spans="1:5" ht="17.25" customHeight="1">
      <c r="A59" s="127">
        <v>96</v>
      </c>
      <c r="B59" s="128">
        <v>27</v>
      </c>
      <c r="C59" s="129" t="s">
        <v>218</v>
      </c>
      <c r="D59" s="127" t="s">
        <v>260</v>
      </c>
      <c r="E59" s="132">
        <v>1303</v>
      </c>
    </row>
    <row r="60" spans="1:5" ht="17.25" customHeight="1">
      <c r="A60" s="127">
        <v>97</v>
      </c>
      <c r="B60" s="128">
        <v>26</v>
      </c>
      <c r="C60" s="129" t="s">
        <v>218</v>
      </c>
      <c r="D60" s="127" t="s">
        <v>261</v>
      </c>
      <c r="E60" s="132">
        <v>1209</v>
      </c>
    </row>
    <row r="61" spans="1:5" ht="17.25" customHeight="1">
      <c r="A61" s="127">
        <v>98</v>
      </c>
      <c r="B61" s="128">
        <v>27</v>
      </c>
      <c r="C61" s="129" t="s">
        <v>225</v>
      </c>
      <c r="D61" s="133" t="s">
        <v>260</v>
      </c>
      <c r="E61" s="128">
        <v>1286</v>
      </c>
    </row>
    <row r="62" spans="1:5" ht="17.25" customHeight="1">
      <c r="A62" s="127">
        <v>99</v>
      </c>
      <c r="B62" s="128">
        <v>30</v>
      </c>
      <c r="C62" s="129" t="s">
        <v>225</v>
      </c>
      <c r="D62" s="133" t="s">
        <v>262</v>
      </c>
      <c r="E62" s="128">
        <v>1365</v>
      </c>
    </row>
    <row r="63" spans="1:5" ht="17.25" customHeight="1">
      <c r="A63" s="127">
        <v>100</v>
      </c>
      <c r="B63" s="128">
        <v>30</v>
      </c>
      <c r="C63" s="129" t="s">
        <v>225</v>
      </c>
      <c r="D63" s="133" t="s">
        <v>262</v>
      </c>
      <c r="E63" s="128">
        <v>1374</v>
      </c>
    </row>
    <row r="64" spans="1:5" ht="17.25" customHeight="1">
      <c r="A64" s="90"/>
      <c r="B64" s="91">
        <f>SUM(B53:B63)</f>
        <v>269</v>
      </c>
      <c r="C64" s="91"/>
      <c r="D64" s="91"/>
      <c r="E64" s="91">
        <f>SUM(E53:E63)</f>
        <v>16042</v>
      </c>
    </row>
    <row r="65" spans="1:5" ht="17.25" customHeight="1">
      <c r="A65" s="73" t="s">
        <v>14</v>
      </c>
      <c r="B65" s="91">
        <f>B64</f>
        <v>269</v>
      </c>
      <c r="C65" s="91"/>
      <c r="D65" s="91"/>
      <c r="E65" s="91">
        <f>E64</f>
        <v>16042</v>
      </c>
    </row>
    <row r="66" spans="1:5" ht="17.25" customHeight="1">
      <c r="A66" s="86"/>
      <c r="B66" s="92"/>
      <c r="C66" s="92"/>
      <c r="D66" s="92"/>
      <c r="E66" s="92"/>
    </row>
    <row r="67" spans="1:5" ht="27.75" customHeight="1">
      <c r="A67" s="322" t="s">
        <v>297</v>
      </c>
      <c r="B67" s="331"/>
      <c r="C67" s="331"/>
      <c r="D67" s="331"/>
      <c r="E67" s="331"/>
    </row>
    <row r="68" spans="1:5" ht="24.75" customHeight="1">
      <c r="A68" s="24" t="s">
        <v>212</v>
      </c>
      <c r="B68" s="24" t="s">
        <v>213</v>
      </c>
      <c r="C68" s="24" t="s">
        <v>214</v>
      </c>
      <c r="D68" s="24" t="s">
        <v>215</v>
      </c>
      <c r="E68" s="89" t="s">
        <v>216</v>
      </c>
    </row>
    <row r="69" spans="1:5" ht="17.25" customHeight="1">
      <c r="A69" s="341" t="s">
        <v>223</v>
      </c>
      <c r="B69" s="342"/>
      <c r="C69" s="343"/>
      <c r="D69" s="24"/>
      <c r="E69" s="89"/>
    </row>
    <row r="70" spans="1:5" ht="17.25" customHeight="1">
      <c r="A70" s="124" t="s">
        <v>282</v>
      </c>
      <c r="B70" s="119">
        <v>7</v>
      </c>
      <c r="C70" s="119" t="s">
        <v>228</v>
      </c>
      <c r="D70" s="119" t="s">
        <v>283</v>
      </c>
      <c r="E70" s="119">
        <v>780</v>
      </c>
    </row>
    <row r="71" spans="1:5" ht="17.25" customHeight="1">
      <c r="A71" s="126"/>
      <c r="B71" s="93">
        <f>SUM(B70:B70)</f>
        <v>7</v>
      </c>
      <c r="C71" s="93"/>
      <c r="D71" s="93"/>
      <c r="E71" s="93">
        <f>SUM(E70:E70)</f>
        <v>780</v>
      </c>
    </row>
    <row r="72" spans="1:5" ht="17.25" customHeight="1">
      <c r="A72" s="341" t="s">
        <v>217</v>
      </c>
      <c r="B72" s="342"/>
      <c r="C72" s="343"/>
      <c r="D72" s="35"/>
      <c r="E72" s="35"/>
    </row>
    <row r="73" spans="1:5" ht="17.25" customHeight="1">
      <c r="A73" s="124" t="s">
        <v>284</v>
      </c>
      <c r="B73" s="119">
        <v>4</v>
      </c>
      <c r="C73" s="123" t="s">
        <v>233</v>
      </c>
      <c r="D73" s="119" t="s">
        <v>285</v>
      </c>
      <c r="E73" s="119">
        <v>466</v>
      </c>
    </row>
    <row r="74" spans="1:5" ht="17.25" customHeight="1">
      <c r="A74" s="124" t="s">
        <v>284</v>
      </c>
      <c r="B74" s="119">
        <v>1</v>
      </c>
      <c r="C74" s="123" t="s">
        <v>242</v>
      </c>
      <c r="D74" s="119" t="s">
        <v>263</v>
      </c>
      <c r="E74" s="119">
        <v>220</v>
      </c>
    </row>
    <row r="75" spans="1:5" ht="17.25" customHeight="1">
      <c r="A75" s="124" t="s">
        <v>284</v>
      </c>
      <c r="B75" s="119">
        <v>1</v>
      </c>
      <c r="C75" s="123" t="s">
        <v>246</v>
      </c>
      <c r="D75" s="119" t="s">
        <v>286</v>
      </c>
      <c r="E75" s="119">
        <v>295</v>
      </c>
    </row>
    <row r="76" spans="1:5" ht="17.25" customHeight="1">
      <c r="A76" s="124" t="s">
        <v>287</v>
      </c>
      <c r="B76" s="119">
        <v>1</v>
      </c>
      <c r="C76" s="119" t="s">
        <v>228</v>
      </c>
      <c r="D76" s="41" t="s">
        <v>247</v>
      </c>
      <c r="E76" s="119">
        <v>87</v>
      </c>
    </row>
    <row r="77" spans="1:5" ht="17.25" customHeight="1">
      <c r="A77" s="124" t="s">
        <v>288</v>
      </c>
      <c r="B77" s="119">
        <v>1</v>
      </c>
      <c r="C77" s="123" t="s">
        <v>233</v>
      </c>
      <c r="D77" s="41" t="s">
        <v>247</v>
      </c>
      <c r="E77" s="119">
        <v>115</v>
      </c>
    </row>
    <row r="78" spans="1:5" ht="17.25" customHeight="1">
      <c r="A78" s="24"/>
      <c r="B78" s="73">
        <f>SUM(B73:B77)</f>
        <v>8</v>
      </c>
      <c r="C78" s="73"/>
      <c r="D78" s="73"/>
      <c r="E78" s="73">
        <f>SUM(E73:E77)</f>
        <v>1183</v>
      </c>
    </row>
    <row r="79" spans="1:5" ht="17.25" customHeight="1">
      <c r="A79" s="73" t="s">
        <v>14</v>
      </c>
      <c r="B79" s="91">
        <f>B71+B78</f>
        <v>15</v>
      </c>
      <c r="C79" s="91"/>
      <c r="D79" s="91"/>
      <c r="E79" s="91">
        <f>E71+E78</f>
        <v>1963</v>
      </c>
    </row>
    <row r="80" spans="1:5" ht="17.25" customHeight="1">
      <c r="A80" s="86"/>
      <c r="B80" s="92"/>
      <c r="C80" s="97"/>
      <c r="D80" s="91"/>
      <c r="E80" s="91"/>
    </row>
    <row r="81" spans="1:5" ht="33.75" customHeight="1">
      <c r="A81" s="322" t="s">
        <v>421</v>
      </c>
      <c r="B81" s="331"/>
      <c r="C81" s="331"/>
      <c r="D81" s="331"/>
      <c r="E81" s="331"/>
    </row>
    <row r="82" spans="1:5" ht="23.25" customHeight="1">
      <c r="A82" s="24" t="s">
        <v>212</v>
      </c>
      <c r="B82" s="24" t="s">
        <v>213</v>
      </c>
      <c r="C82" s="24" t="s">
        <v>214</v>
      </c>
      <c r="D82" s="24" t="s">
        <v>215</v>
      </c>
      <c r="E82" s="89" t="s">
        <v>216</v>
      </c>
    </row>
    <row r="83" spans="1:5" ht="17.25" customHeight="1">
      <c r="A83" s="341" t="s">
        <v>223</v>
      </c>
      <c r="B83" s="342"/>
      <c r="C83" s="343"/>
      <c r="D83" s="24"/>
      <c r="E83" s="89"/>
    </row>
    <row r="84" spans="1:5" ht="17.25" customHeight="1">
      <c r="A84" s="46">
        <v>756</v>
      </c>
      <c r="B84" s="46">
        <v>3</v>
      </c>
      <c r="C84" s="46" t="s">
        <v>225</v>
      </c>
      <c r="D84" s="46" t="s">
        <v>291</v>
      </c>
      <c r="E84" s="46">
        <v>226</v>
      </c>
    </row>
    <row r="85" spans="1:5" ht="17.25" customHeight="1">
      <c r="A85" s="46">
        <v>757</v>
      </c>
      <c r="B85" s="46">
        <v>10</v>
      </c>
      <c r="C85" s="46" t="s">
        <v>228</v>
      </c>
      <c r="D85" s="46" t="s">
        <v>292</v>
      </c>
      <c r="E85" s="46">
        <v>1056</v>
      </c>
    </row>
    <row r="86" spans="1:5" ht="17.25" customHeight="1">
      <c r="A86" s="126"/>
      <c r="B86" s="93">
        <f>SUM(B84:B85)</f>
        <v>13</v>
      </c>
      <c r="C86" s="93"/>
      <c r="D86" s="93"/>
      <c r="E86" s="93">
        <f>SUM(E84:E85)</f>
        <v>1282</v>
      </c>
    </row>
    <row r="87" spans="1:5" ht="17.25" customHeight="1">
      <c r="A87" s="341" t="s">
        <v>217</v>
      </c>
      <c r="B87" s="342"/>
      <c r="C87" s="343"/>
      <c r="D87" s="35"/>
      <c r="E87" s="35"/>
    </row>
    <row r="88" spans="1:5" ht="17.25" customHeight="1">
      <c r="A88" s="46">
        <v>758</v>
      </c>
      <c r="B88" s="46">
        <v>8</v>
      </c>
      <c r="C88" s="46" t="s">
        <v>225</v>
      </c>
      <c r="D88" s="46" t="s">
        <v>293</v>
      </c>
      <c r="E88" s="46">
        <v>586</v>
      </c>
    </row>
    <row r="89" spans="1:5" ht="17.25" customHeight="1">
      <c r="A89" s="46">
        <v>759</v>
      </c>
      <c r="B89" s="46">
        <v>1</v>
      </c>
      <c r="C89" s="46" t="s">
        <v>228</v>
      </c>
      <c r="D89" s="46" t="s">
        <v>239</v>
      </c>
      <c r="E89" s="46">
        <v>82</v>
      </c>
    </row>
    <row r="90" spans="1:5" ht="17.25" customHeight="1">
      <c r="A90" s="24"/>
      <c r="B90" s="73">
        <f>SUM(B88:B89)</f>
        <v>9</v>
      </c>
      <c r="C90" s="73"/>
      <c r="D90" s="73"/>
      <c r="E90" s="73">
        <f>SUM(E88:E89)</f>
        <v>668</v>
      </c>
    </row>
    <row r="91" spans="1:5" ht="17.25" customHeight="1">
      <c r="A91" s="73" t="s">
        <v>14</v>
      </c>
      <c r="B91" s="91">
        <f>B86+B90</f>
        <v>22</v>
      </c>
      <c r="C91" s="91"/>
      <c r="D91" s="91"/>
      <c r="E91" s="91">
        <f>E86+E90</f>
        <v>1950</v>
      </c>
    </row>
    <row r="92" spans="1:5" ht="17.25" customHeight="1">
      <c r="A92" s="86"/>
      <c r="B92" s="92"/>
      <c r="C92" s="97"/>
      <c r="D92" s="91"/>
      <c r="E92" s="91"/>
    </row>
    <row r="93" spans="1:5" ht="31.5" customHeight="1">
      <c r="A93" s="322" t="s">
        <v>422</v>
      </c>
      <c r="B93" s="331"/>
      <c r="C93" s="331"/>
      <c r="D93" s="331"/>
      <c r="E93" s="331"/>
    </row>
    <row r="94" spans="1:5" ht="24.75" customHeight="1">
      <c r="A94" s="24" t="s">
        <v>212</v>
      </c>
      <c r="B94" s="24" t="s">
        <v>213</v>
      </c>
      <c r="C94" s="24" t="s">
        <v>214</v>
      </c>
      <c r="D94" s="24" t="s">
        <v>215</v>
      </c>
      <c r="E94" s="89" t="s">
        <v>216</v>
      </c>
    </row>
    <row r="95" spans="1:5" ht="17.25" customHeight="1">
      <c r="A95" s="325" t="s">
        <v>223</v>
      </c>
      <c r="B95" s="326"/>
      <c r="C95" s="327"/>
      <c r="D95" s="41"/>
      <c r="E95" s="40"/>
    </row>
    <row r="96" spans="1:5" ht="17.25" customHeight="1">
      <c r="A96" s="41">
        <v>996</v>
      </c>
      <c r="B96" s="41">
        <v>3</v>
      </c>
      <c r="C96" s="41" t="s">
        <v>218</v>
      </c>
      <c r="D96" s="41" t="s">
        <v>298</v>
      </c>
      <c r="E96" s="120">
        <v>216</v>
      </c>
    </row>
    <row r="97" spans="1:5" ht="17.25" customHeight="1">
      <c r="A97" s="41">
        <v>997</v>
      </c>
      <c r="B97" s="41">
        <v>3</v>
      </c>
      <c r="C97" s="41" t="s">
        <v>238</v>
      </c>
      <c r="D97" s="41" t="s">
        <v>299</v>
      </c>
      <c r="E97" s="120">
        <v>304</v>
      </c>
    </row>
    <row r="98" spans="1:5" ht="17.25" customHeight="1">
      <c r="A98" s="156"/>
      <c r="B98" s="93">
        <f>SUM(B96:B97)</f>
        <v>6</v>
      </c>
      <c r="C98" s="93"/>
      <c r="D98" s="93"/>
      <c r="E98" s="93">
        <f>SUM(E96:E97)</f>
        <v>520</v>
      </c>
    </row>
    <row r="99" spans="1:5" ht="17.25" customHeight="1">
      <c r="A99" s="325" t="s">
        <v>217</v>
      </c>
      <c r="B99" s="326"/>
      <c r="C99" s="327"/>
      <c r="D99" s="35"/>
      <c r="E99" s="35"/>
    </row>
    <row r="100" spans="1:5" ht="17.25" customHeight="1">
      <c r="A100" s="71">
        <v>998</v>
      </c>
      <c r="B100" s="96">
        <v>3</v>
      </c>
      <c r="C100" s="71" t="s">
        <v>237</v>
      </c>
      <c r="D100" s="41" t="s">
        <v>241</v>
      </c>
      <c r="E100" s="121">
        <v>137</v>
      </c>
    </row>
    <row r="101" spans="1:5" ht="17.25" customHeight="1">
      <c r="A101" s="71">
        <v>999</v>
      </c>
      <c r="B101" s="96">
        <v>14</v>
      </c>
      <c r="C101" s="71" t="s">
        <v>218</v>
      </c>
      <c r="D101" s="41" t="s">
        <v>300</v>
      </c>
      <c r="E101" s="121">
        <v>1255</v>
      </c>
    </row>
    <row r="102" spans="1:5" ht="17.25" customHeight="1">
      <c r="A102" s="71">
        <v>1000</v>
      </c>
      <c r="B102" s="96">
        <v>7</v>
      </c>
      <c r="C102" s="71" t="s">
        <v>218</v>
      </c>
      <c r="D102" s="41" t="s">
        <v>301</v>
      </c>
      <c r="E102" s="121">
        <v>613</v>
      </c>
    </row>
    <row r="103" spans="1:5" ht="17.25" customHeight="1">
      <c r="A103" s="71">
        <v>1001</v>
      </c>
      <c r="B103" s="96">
        <v>1</v>
      </c>
      <c r="C103" s="71" t="s">
        <v>238</v>
      </c>
      <c r="D103" s="41" t="s">
        <v>240</v>
      </c>
      <c r="E103" s="121">
        <v>101</v>
      </c>
    </row>
    <row r="104" spans="1:5" ht="17.25" customHeight="1">
      <c r="A104" s="41"/>
      <c r="B104" s="141">
        <f>SUM(B100:B103)</f>
        <v>25</v>
      </c>
      <c r="C104" s="141"/>
      <c r="D104" s="141"/>
      <c r="E104" s="141">
        <f>SUM(E100:E103)</f>
        <v>2106</v>
      </c>
    </row>
    <row r="105" spans="1:5" ht="17.25" customHeight="1">
      <c r="A105" s="141" t="s">
        <v>14</v>
      </c>
      <c r="B105" s="144">
        <f>B98+B104</f>
        <v>31</v>
      </c>
      <c r="C105" s="144"/>
      <c r="D105" s="144"/>
      <c r="E105" s="144">
        <f>E98+E104</f>
        <v>2626</v>
      </c>
    </row>
    <row r="106" spans="1:5" ht="17.25" customHeight="1">
      <c r="A106" s="147"/>
      <c r="B106" s="145"/>
      <c r="C106" s="146"/>
      <c r="D106" s="144"/>
      <c r="E106" s="144"/>
    </row>
    <row r="107" spans="1:7" ht="28.5" customHeight="1">
      <c r="A107" s="322" t="s">
        <v>423</v>
      </c>
      <c r="B107" s="331"/>
      <c r="C107" s="331"/>
      <c r="D107" s="331"/>
      <c r="E107" s="331"/>
      <c r="F107" s="150"/>
      <c r="G107" s="150"/>
    </row>
    <row r="108" spans="1:7" ht="26.25" customHeight="1">
      <c r="A108" s="24" t="s">
        <v>212</v>
      </c>
      <c r="B108" s="24" t="s">
        <v>213</v>
      </c>
      <c r="C108" s="24" t="s">
        <v>214</v>
      </c>
      <c r="D108" s="24" t="s">
        <v>215</v>
      </c>
      <c r="E108" s="89" t="s">
        <v>216</v>
      </c>
      <c r="F108" s="150"/>
      <c r="G108" s="150"/>
    </row>
    <row r="109" spans="1:7" ht="17.25" customHeight="1">
      <c r="A109" s="325" t="s">
        <v>223</v>
      </c>
      <c r="B109" s="326"/>
      <c r="C109" s="327"/>
      <c r="D109" s="41"/>
      <c r="E109" s="40"/>
      <c r="F109" s="150"/>
      <c r="G109" s="150"/>
    </row>
    <row r="110" spans="1:7" ht="17.25" customHeight="1">
      <c r="A110" s="46">
        <v>724</v>
      </c>
      <c r="B110" s="119">
        <v>1</v>
      </c>
      <c r="C110" s="119" t="s">
        <v>224</v>
      </c>
      <c r="D110" s="119" t="s">
        <v>303</v>
      </c>
      <c r="E110" s="119">
        <v>50</v>
      </c>
      <c r="F110" s="150"/>
      <c r="G110" s="150"/>
    </row>
    <row r="111" spans="1:7" ht="17.25" customHeight="1">
      <c r="A111" s="46">
        <v>725</v>
      </c>
      <c r="B111" s="119">
        <v>6</v>
      </c>
      <c r="C111" s="119" t="s">
        <v>225</v>
      </c>
      <c r="D111" s="119" t="s">
        <v>304</v>
      </c>
      <c r="E111" s="119">
        <v>446</v>
      </c>
      <c r="F111" s="150"/>
      <c r="G111" s="150"/>
    </row>
    <row r="112" spans="1:7" ht="17.25" customHeight="1">
      <c r="A112" s="46">
        <v>726</v>
      </c>
      <c r="B112" s="119">
        <v>21</v>
      </c>
      <c r="C112" s="119" t="s">
        <v>228</v>
      </c>
      <c r="D112" s="160" t="s">
        <v>309</v>
      </c>
      <c r="E112" s="119">
        <v>2233</v>
      </c>
      <c r="F112" s="150"/>
      <c r="G112" s="150"/>
    </row>
    <row r="113" spans="1:7" ht="17.25" customHeight="1">
      <c r="A113" s="151"/>
      <c r="B113" s="151">
        <f>SUM(B110:B112)</f>
        <v>28</v>
      </c>
      <c r="C113" s="151"/>
      <c r="D113" s="151"/>
      <c r="E113" s="151">
        <f>SUM(E110:E112)</f>
        <v>2729</v>
      </c>
      <c r="F113" s="150"/>
      <c r="G113" s="150"/>
    </row>
    <row r="114" spans="1:7" ht="17.25" customHeight="1">
      <c r="A114" s="325" t="s">
        <v>217</v>
      </c>
      <c r="B114" s="326"/>
      <c r="C114" s="327"/>
      <c r="D114" s="151"/>
      <c r="E114" s="152"/>
      <c r="F114" s="150"/>
      <c r="G114" s="150"/>
    </row>
    <row r="115" spans="1:7" ht="17.25" customHeight="1">
      <c r="A115" s="46">
        <v>730</v>
      </c>
      <c r="B115" s="119">
        <v>1</v>
      </c>
      <c r="C115" s="123" t="s">
        <v>246</v>
      </c>
      <c r="D115" s="119" t="s">
        <v>305</v>
      </c>
      <c r="E115" s="119">
        <v>265</v>
      </c>
      <c r="F115" s="150"/>
      <c r="G115" s="150"/>
    </row>
    <row r="116" spans="1:7" ht="17.25" customHeight="1">
      <c r="A116" s="46">
        <v>727</v>
      </c>
      <c r="B116" s="119">
        <v>10</v>
      </c>
      <c r="C116" s="119" t="s">
        <v>225</v>
      </c>
      <c r="D116" s="119" t="s">
        <v>306</v>
      </c>
      <c r="E116" s="119">
        <v>750</v>
      </c>
      <c r="F116" s="150"/>
      <c r="G116" s="150"/>
    </row>
    <row r="117" spans="1:7" ht="17.25" customHeight="1">
      <c r="A117" s="46">
        <v>728</v>
      </c>
      <c r="B117" s="119">
        <v>5</v>
      </c>
      <c r="C117" s="119" t="s">
        <v>228</v>
      </c>
      <c r="D117" s="119" t="s">
        <v>307</v>
      </c>
      <c r="E117" s="119">
        <v>403</v>
      </c>
      <c r="F117" s="150"/>
      <c r="G117" s="150"/>
    </row>
    <row r="118" spans="1:7" ht="17.25" customHeight="1">
      <c r="A118" s="46">
        <v>729</v>
      </c>
      <c r="B118" s="119">
        <v>2</v>
      </c>
      <c r="C118" s="123" t="s">
        <v>233</v>
      </c>
      <c r="D118" s="119" t="s">
        <v>308</v>
      </c>
      <c r="E118" s="119">
        <v>207</v>
      </c>
      <c r="F118" s="150"/>
      <c r="G118" s="150"/>
    </row>
    <row r="119" spans="1:7" ht="17.25" customHeight="1">
      <c r="A119" s="41"/>
      <c r="B119" s="151">
        <f>SUM(B115:B118)</f>
        <v>18</v>
      </c>
      <c r="C119" s="151"/>
      <c r="D119" s="151"/>
      <c r="E119" s="151">
        <f>SUM(E115:E118)</f>
        <v>1625</v>
      </c>
      <c r="F119" s="150"/>
      <c r="G119" s="150"/>
    </row>
    <row r="120" spans="1:7" ht="17.25" customHeight="1">
      <c r="A120" s="151" t="s">
        <v>14</v>
      </c>
      <c r="B120" s="144">
        <f>B113+B119</f>
        <v>46</v>
      </c>
      <c r="C120" s="144"/>
      <c r="D120" s="144"/>
      <c r="E120" s="144">
        <f>E113+E119</f>
        <v>4354</v>
      </c>
      <c r="F120" s="150"/>
      <c r="G120" s="150"/>
    </row>
    <row r="121" spans="1:7" ht="17.25" customHeight="1">
      <c r="A121" s="155"/>
      <c r="B121" s="145"/>
      <c r="C121" s="146"/>
      <c r="D121" s="144"/>
      <c r="E121" s="144"/>
      <c r="F121" s="150"/>
      <c r="G121" s="150"/>
    </row>
    <row r="122" spans="1:7" ht="27.75" customHeight="1">
      <c r="A122" s="322" t="s">
        <v>424</v>
      </c>
      <c r="B122" s="331"/>
      <c r="C122" s="331"/>
      <c r="D122" s="331"/>
      <c r="E122" s="331"/>
      <c r="F122" s="150"/>
      <c r="G122" s="150"/>
    </row>
    <row r="123" spans="1:7" ht="21.75" customHeight="1">
      <c r="A123" s="24" t="s">
        <v>212</v>
      </c>
      <c r="B123" s="24" t="s">
        <v>213</v>
      </c>
      <c r="C123" s="24" t="s">
        <v>214</v>
      </c>
      <c r="D123" s="24" t="s">
        <v>215</v>
      </c>
      <c r="E123" s="89" t="s">
        <v>216</v>
      </c>
      <c r="F123" s="150"/>
      <c r="G123" s="150"/>
    </row>
    <row r="124" spans="1:7" ht="17.25" customHeight="1">
      <c r="A124" s="325" t="s">
        <v>223</v>
      </c>
      <c r="B124" s="326"/>
      <c r="C124" s="327"/>
      <c r="D124" s="41"/>
      <c r="E124" s="40"/>
      <c r="F124" s="150"/>
      <c r="G124" s="150"/>
    </row>
    <row r="125" spans="1:7" ht="17.25" customHeight="1">
      <c r="A125" s="46">
        <v>431</v>
      </c>
      <c r="B125" s="46">
        <v>6</v>
      </c>
      <c r="C125" s="46" t="s">
        <v>228</v>
      </c>
      <c r="D125" s="46" t="s">
        <v>310</v>
      </c>
      <c r="E125" s="46">
        <v>696</v>
      </c>
      <c r="F125" s="150"/>
      <c r="G125" s="150"/>
    </row>
    <row r="126" spans="1:7" ht="17.25" customHeight="1">
      <c r="A126" s="46">
        <v>431</v>
      </c>
      <c r="B126" s="46">
        <v>2</v>
      </c>
      <c r="C126" s="46" t="s">
        <v>225</v>
      </c>
      <c r="D126" s="46" t="s">
        <v>311</v>
      </c>
      <c r="E126" s="46">
        <v>174</v>
      </c>
      <c r="F126" s="150"/>
      <c r="G126" s="150"/>
    </row>
    <row r="127" spans="1:7" ht="17.25" customHeight="1">
      <c r="A127" s="154"/>
      <c r="B127" s="154">
        <f>SUM(B125:B126)</f>
        <v>8</v>
      </c>
      <c r="C127" s="154"/>
      <c r="D127" s="154"/>
      <c r="E127" s="154">
        <f>SUM(E125:E126)</f>
        <v>870</v>
      </c>
      <c r="F127" s="150"/>
      <c r="G127" s="150"/>
    </row>
    <row r="128" spans="1:7" ht="17.25" customHeight="1">
      <c r="A128" s="325" t="s">
        <v>217</v>
      </c>
      <c r="B128" s="326"/>
      <c r="C128" s="327"/>
      <c r="D128" s="154"/>
      <c r="E128" s="155"/>
      <c r="F128" s="150"/>
      <c r="G128" s="150"/>
    </row>
    <row r="129" spans="1:7" ht="17.25" customHeight="1">
      <c r="A129" s="46">
        <v>433</v>
      </c>
      <c r="B129" s="46">
        <v>2</v>
      </c>
      <c r="C129" s="123" t="s">
        <v>233</v>
      </c>
      <c r="D129" s="46" t="s">
        <v>312</v>
      </c>
      <c r="E129" s="46">
        <v>250</v>
      </c>
      <c r="F129" s="150"/>
      <c r="G129" s="150"/>
    </row>
    <row r="130" spans="1:7" ht="17.25" customHeight="1">
      <c r="A130" s="46">
        <v>432</v>
      </c>
      <c r="B130" s="46">
        <v>1</v>
      </c>
      <c r="C130" s="46" t="s">
        <v>228</v>
      </c>
      <c r="D130" s="46" t="s">
        <v>240</v>
      </c>
      <c r="E130" s="46">
        <v>90</v>
      </c>
      <c r="F130" s="150"/>
      <c r="G130" s="150"/>
    </row>
    <row r="131" spans="1:7" ht="17.25" customHeight="1">
      <c r="A131" s="46">
        <v>432</v>
      </c>
      <c r="B131" s="46">
        <v>1</v>
      </c>
      <c r="C131" s="123" t="s">
        <v>233</v>
      </c>
      <c r="D131" s="46" t="s">
        <v>240</v>
      </c>
      <c r="E131" s="46">
        <v>125</v>
      </c>
      <c r="F131" s="150"/>
      <c r="G131" s="150"/>
    </row>
    <row r="132" spans="1:7" ht="17.25" customHeight="1">
      <c r="A132" s="41"/>
      <c r="B132" s="154">
        <f>SUM(B129:B131)</f>
        <v>4</v>
      </c>
      <c r="C132" s="154"/>
      <c r="D132" s="154"/>
      <c r="E132" s="154">
        <f>SUM(E129:E131)</f>
        <v>465</v>
      </c>
      <c r="F132" s="150"/>
      <c r="G132" s="150"/>
    </row>
    <row r="133" spans="1:7" ht="17.25" customHeight="1">
      <c r="A133" s="154" t="s">
        <v>14</v>
      </c>
      <c r="B133" s="144">
        <f>B127+B132</f>
        <v>12</v>
      </c>
      <c r="C133" s="144"/>
      <c r="D133" s="144"/>
      <c r="E133" s="144">
        <f>E127+E132</f>
        <v>1335</v>
      </c>
      <c r="F133" s="150"/>
      <c r="G133" s="150"/>
    </row>
    <row r="134" spans="1:7" ht="17.25" customHeight="1">
      <c r="A134" s="161"/>
      <c r="B134" s="145"/>
      <c r="C134" s="146"/>
      <c r="D134" s="144"/>
      <c r="E134" s="144"/>
      <c r="F134" s="150"/>
      <c r="G134" s="150"/>
    </row>
    <row r="135" spans="1:7" ht="27" customHeight="1">
      <c r="A135" s="322" t="s">
        <v>425</v>
      </c>
      <c r="B135" s="331"/>
      <c r="C135" s="331"/>
      <c r="D135" s="331"/>
      <c r="E135" s="331"/>
      <c r="F135" s="150"/>
      <c r="G135" s="150"/>
    </row>
    <row r="136" spans="1:7" ht="23.25" customHeight="1">
      <c r="A136" s="24" t="s">
        <v>212</v>
      </c>
      <c r="B136" s="24" t="s">
        <v>213</v>
      </c>
      <c r="C136" s="24" t="s">
        <v>214</v>
      </c>
      <c r="D136" s="24" t="s">
        <v>215</v>
      </c>
      <c r="E136" s="89" t="s">
        <v>216</v>
      </c>
      <c r="F136" s="150"/>
      <c r="G136" s="150"/>
    </row>
    <row r="137" spans="1:7" ht="17.25" customHeight="1">
      <c r="A137" s="325" t="s">
        <v>217</v>
      </c>
      <c r="B137" s="326"/>
      <c r="C137" s="327"/>
      <c r="D137" s="162"/>
      <c r="E137" s="161"/>
      <c r="F137" s="150"/>
      <c r="G137" s="150"/>
    </row>
    <row r="138" spans="1:7" ht="17.25" customHeight="1">
      <c r="A138" s="127">
        <v>109</v>
      </c>
      <c r="B138" s="128">
        <v>25</v>
      </c>
      <c r="C138" s="128" t="s">
        <v>218</v>
      </c>
      <c r="D138" s="41" t="s">
        <v>313</v>
      </c>
      <c r="E138" s="178">
        <v>1149</v>
      </c>
      <c r="F138" s="150"/>
      <c r="G138" s="150"/>
    </row>
    <row r="139" spans="1:7" ht="17.25" customHeight="1">
      <c r="A139" s="128">
        <v>110</v>
      </c>
      <c r="B139" s="128">
        <v>29</v>
      </c>
      <c r="C139" s="128" t="s">
        <v>218</v>
      </c>
      <c r="D139" s="41" t="s">
        <v>314</v>
      </c>
      <c r="E139" s="178">
        <v>1347</v>
      </c>
      <c r="F139" s="150"/>
      <c r="G139" s="150"/>
    </row>
    <row r="140" spans="1:7" ht="17.25" customHeight="1">
      <c r="A140" s="41"/>
      <c r="B140" s="162">
        <f>SUM(B138:B139)</f>
        <v>54</v>
      </c>
      <c r="C140" s="162"/>
      <c r="D140" s="162"/>
      <c r="E140" s="161">
        <f>SUM(E138:E139)</f>
        <v>2496</v>
      </c>
      <c r="F140" s="150"/>
      <c r="G140" s="150"/>
    </row>
    <row r="141" spans="1:7" ht="17.25" customHeight="1">
      <c r="A141" s="162" t="s">
        <v>14</v>
      </c>
      <c r="B141" s="144">
        <f>B140</f>
        <v>54</v>
      </c>
      <c r="C141" s="144"/>
      <c r="D141" s="144"/>
      <c r="E141" s="144">
        <f>E140</f>
        <v>2496</v>
      </c>
      <c r="F141" s="150"/>
      <c r="G141" s="150"/>
    </row>
    <row r="142" spans="1:7" ht="17.25" customHeight="1">
      <c r="A142" s="161"/>
      <c r="B142" s="145"/>
      <c r="C142" s="146"/>
      <c r="D142" s="144"/>
      <c r="E142" s="144"/>
      <c r="F142" s="150"/>
      <c r="G142" s="150"/>
    </row>
    <row r="143" spans="1:7" ht="27.75" customHeight="1">
      <c r="A143" s="322" t="s">
        <v>426</v>
      </c>
      <c r="B143" s="331"/>
      <c r="C143" s="331"/>
      <c r="D143" s="331"/>
      <c r="E143" s="331"/>
      <c r="F143" s="150"/>
      <c r="G143" s="150"/>
    </row>
    <row r="144" spans="1:7" ht="24.75" customHeight="1">
      <c r="A144" s="24" t="s">
        <v>212</v>
      </c>
      <c r="B144" s="24" t="s">
        <v>213</v>
      </c>
      <c r="C144" s="24" t="s">
        <v>214</v>
      </c>
      <c r="D144" s="24" t="s">
        <v>215</v>
      </c>
      <c r="E144" s="89" t="s">
        <v>216</v>
      </c>
      <c r="F144" s="150"/>
      <c r="G144" s="150"/>
    </row>
    <row r="145" spans="1:7" ht="17.25" customHeight="1">
      <c r="A145" s="325" t="s">
        <v>223</v>
      </c>
      <c r="B145" s="326"/>
      <c r="C145" s="327"/>
      <c r="D145" s="41"/>
      <c r="E145" s="40"/>
      <c r="F145" s="150"/>
      <c r="G145" s="150"/>
    </row>
    <row r="146" spans="1:7" ht="17.25" customHeight="1">
      <c r="A146" s="96">
        <v>1288</v>
      </c>
      <c r="B146" s="96">
        <v>2</v>
      </c>
      <c r="C146" s="96" t="s">
        <v>224</v>
      </c>
      <c r="D146" s="71" t="s">
        <v>315</v>
      </c>
      <c r="E146" s="96">
        <v>110</v>
      </c>
      <c r="F146" s="150"/>
      <c r="G146" s="150"/>
    </row>
    <row r="147" spans="1:7" ht="17.25" customHeight="1">
      <c r="A147" s="71">
        <v>1289</v>
      </c>
      <c r="B147" s="96">
        <v>8</v>
      </c>
      <c r="C147" s="96" t="s">
        <v>218</v>
      </c>
      <c r="D147" s="71" t="s">
        <v>316</v>
      </c>
      <c r="E147" s="71">
        <v>624</v>
      </c>
      <c r="F147" s="150"/>
      <c r="G147" s="150"/>
    </row>
    <row r="148" spans="1:7" ht="17.25" customHeight="1">
      <c r="A148" s="71">
        <v>1290</v>
      </c>
      <c r="B148" s="41">
        <v>4</v>
      </c>
      <c r="C148" s="41" t="s">
        <v>228</v>
      </c>
      <c r="D148" s="41" t="s">
        <v>317</v>
      </c>
      <c r="E148" s="41">
        <v>440</v>
      </c>
      <c r="F148" s="150"/>
      <c r="G148" s="150"/>
    </row>
    <row r="149" spans="1:7" ht="17.25" customHeight="1">
      <c r="A149" s="162"/>
      <c r="B149" s="162">
        <f>SUM(B146:B148)</f>
        <v>14</v>
      </c>
      <c r="C149" s="162"/>
      <c r="D149" s="162"/>
      <c r="E149" s="162">
        <f>SUM(E146:E148)</f>
        <v>1174</v>
      </c>
      <c r="F149" s="150"/>
      <c r="G149" s="150"/>
    </row>
    <row r="150" spans="1:7" ht="17.25" customHeight="1">
      <c r="A150" s="325" t="s">
        <v>217</v>
      </c>
      <c r="B150" s="326"/>
      <c r="C150" s="327"/>
      <c r="D150" s="162"/>
      <c r="E150" s="161"/>
      <c r="F150" s="150"/>
      <c r="G150" s="150"/>
    </row>
    <row r="151" spans="1:7" ht="17.25" customHeight="1">
      <c r="A151" s="177">
        <v>1292</v>
      </c>
      <c r="B151" s="61">
        <v>3</v>
      </c>
      <c r="C151" s="175" t="s">
        <v>242</v>
      </c>
      <c r="D151" s="41" t="s">
        <v>318</v>
      </c>
      <c r="E151" s="61">
        <v>636</v>
      </c>
      <c r="F151" s="150"/>
      <c r="G151" s="150"/>
    </row>
    <row r="152" spans="1:7" ht="17.25" customHeight="1">
      <c r="A152" s="174">
        <v>1293</v>
      </c>
      <c r="B152" s="96">
        <v>3</v>
      </c>
      <c r="C152" s="175" t="s">
        <v>246</v>
      </c>
      <c r="D152" s="41" t="s">
        <v>319</v>
      </c>
      <c r="E152" s="71">
        <v>830</v>
      </c>
      <c r="F152" s="150"/>
      <c r="G152" s="150"/>
    </row>
    <row r="153" spans="1:7" ht="17.25" customHeight="1">
      <c r="A153" s="177">
        <v>1291</v>
      </c>
      <c r="B153" s="61">
        <v>25</v>
      </c>
      <c r="C153" s="41" t="s">
        <v>218</v>
      </c>
      <c r="D153" s="41" t="s">
        <v>313</v>
      </c>
      <c r="E153" s="61">
        <v>1426</v>
      </c>
      <c r="F153" s="150"/>
      <c r="G153" s="150"/>
    </row>
    <row r="154" spans="1:7" ht="17.25" customHeight="1">
      <c r="A154" s="41"/>
      <c r="B154" s="162">
        <f>SUM(B151:B153)</f>
        <v>31</v>
      </c>
      <c r="C154" s="162"/>
      <c r="D154" s="162"/>
      <c r="E154" s="161">
        <f>SUM(E151:E153)</f>
        <v>2892</v>
      </c>
      <c r="F154" s="150"/>
      <c r="G154" s="150"/>
    </row>
    <row r="155" spans="1:7" ht="17.25" customHeight="1">
      <c r="A155" s="162" t="s">
        <v>14</v>
      </c>
      <c r="B155" s="144">
        <f>B149+B154</f>
        <v>45</v>
      </c>
      <c r="C155" s="144"/>
      <c r="D155" s="144"/>
      <c r="E155" s="144">
        <f>E149+E154</f>
        <v>4066</v>
      </c>
      <c r="F155" s="150"/>
      <c r="G155" s="150"/>
    </row>
    <row r="156" spans="1:7" ht="17.25" customHeight="1">
      <c r="A156" s="164"/>
      <c r="B156" s="145"/>
      <c r="C156" s="146"/>
      <c r="D156" s="144"/>
      <c r="E156" s="144"/>
      <c r="F156" s="150"/>
      <c r="G156" s="150"/>
    </row>
    <row r="157" spans="1:7" ht="27" customHeight="1">
      <c r="A157" s="322" t="s">
        <v>427</v>
      </c>
      <c r="B157" s="331"/>
      <c r="C157" s="331"/>
      <c r="D157" s="331"/>
      <c r="E157" s="331"/>
      <c r="F157" s="150"/>
      <c r="G157" s="150"/>
    </row>
    <row r="158" spans="1:7" ht="27" customHeight="1">
      <c r="A158" s="24" t="s">
        <v>212</v>
      </c>
      <c r="B158" s="24" t="s">
        <v>213</v>
      </c>
      <c r="C158" s="24" t="s">
        <v>214</v>
      </c>
      <c r="D158" s="24" t="s">
        <v>215</v>
      </c>
      <c r="E158" s="89" t="s">
        <v>216</v>
      </c>
      <c r="F158" s="150"/>
      <c r="G158" s="150"/>
    </row>
    <row r="159" spans="1:7" ht="17.25" customHeight="1">
      <c r="A159" s="341" t="s">
        <v>223</v>
      </c>
      <c r="B159" s="342"/>
      <c r="C159" s="343"/>
      <c r="D159" s="24"/>
      <c r="E159" s="89"/>
      <c r="F159" s="150"/>
      <c r="G159" s="150"/>
    </row>
    <row r="160" spans="1:7" ht="17.25" customHeight="1">
      <c r="A160" s="24">
        <v>1123</v>
      </c>
      <c r="B160" s="211">
        <v>4</v>
      </c>
      <c r="C160" s="211" t="s">
        <v>228</v>
      </c>
      <c r="D160" s="24" t="s">
        <v>335</v>
      </c>
      <c r="E160" s="24">
        <v>448</v>
      </c>
      <c r="F160" s="150"/>
      <c r="G160" s="150"/>
    </row>
    <row r="161" spans="1:7" ht="17.25" customHeight="1">
      <c r="A161" s="24">
        <v>1124</v>
      </c>
      <c r="B161" s="211">
        <v>2</v>
      </c>
      <c r="C161" s="211" t="s">
        <v>225</v>
      </c>
      <c r="D161" s="24" t="s">
        <v>336</v>
      </c>
      <c r="E161" s="24">
        <v>166</v>
      </c>
      <c r="F161" s="150"/>
      <c r="G161" s="150"/>
    </row>
    <row r="162" spans="1:7" ht="17.25" customHeight="1">
      <c r="A162" s="24"/>
      <c r="B162" s="73">
        <f>SUM(B160:B161)</f>
        <v>6</v>
      </c>
      <c r="C162" s="73"/>
      <c r="D162" s="73"/>
      <c r="E162" s="73">
        <f>SUM(E160:E161)</f>
        <v>614</v>
      </c>
      <c r="F162" s="150"/>
      <c r="G162" s="150"/>
    </row>
    <row r="163" spans="1:7" ht="17.25" customHeight="1">
      <c r="A163" s="341" t="s">
        <v>217</v>
      </c>
      <c r="B163" s="342"/>
      <c r="C163" s="343"/>
      <c r="D163" s="24"/>
      <c r="E163" s="89"/>
      <c r="F163" s="150"/>
      <c r="G163" s="150"/>
    </row>
    <row r="164" spans="1:7" ht="17.25" customHeight="1">
      <c r="A164" s="212">
        <v>1120</v>
      </c>
      <c r="B164" s="213">
        <v>19</v>
      </c>
      <c r="C164" s="213" t="s">
        <v>228</v>
      </c>
      <c r="D164" s="24" t="s">
        <v>337</v>
      </c>
      <c r="E164" s="212">
        <v>1957</v>
      </c>
      <c r="F164" s="150"/>
      <c r="G164" s="150"/>
    </row>
    <row r="165" spans="1:7" ht="17.25" customHeight="1">
      <c r="A165" s="24">
        <v>1121</v>
      </c>
      <c r="B165" s="24">
        <v>20</v>
      </c>
      <c r="C165" s="213" t="s">
        <v>225</v>
      </c>
      <c r="D165" s="214" t="s">
        <v>338</v>
      </c>
      <c r="E165" s="24">
        <v>1860</v>
      </c>
      <c r="F165" s="150"/>
      <c r="G165" s="150"/>
    </row>
    <row r="166" spans="1:7" ht="17.25" customHeight="1">
      <c r="A166" s="24">
        <v>1122</v>
      </c>
      <c r="B166" s="24">
        <v>12</v>
      </c>
      <c r="C166" s="213" t="s">
        <v>225</v>
      </c>
      <c r="D166" s="214" t="s">
        <v>339</v>
      </c>
      <c r="E166" s="24">
        <v>1134</v>
      </c>
      <c r="F166" s="150"/>
      <c r="G166" s="150"/>
    </row>
    <row r="167" spans="1:7" ht="17.25" customHeight="1">
      <c r="A167" s="41"/>
      <c r="B167" s="163">
        <f>SUM(B164:B166)</f>
        <v>51</v>
      </c>
      <c r="C167" s="163"/>
      <c r="D167" s="163"/>
      <c r="E167" s="164">
        <f>SUM(E164:E166)</f>
        <v>4951</v>
      </c>
      <c r="F167" s="150"/>
      <c r="G167" s="150"/>
    </row>
    <row r="168" spans="1:7" ht="17.25" customHeight="1">
      <c r="A168" s="163" t="s">
        <v>14</v>
      </c>
      <c r="B168" s="144">
        <f>B162+B167</f>
        <v>57</v>
      </c>
      <c r="C168" s="144"/>
      <c r="D168" s="144"/>
      <c r="E168" s="144">
        <f>E162+E167</f>
        <v>5565</v>
      </c>
      <c r="F168" s="150"/>
      <c r="G168" s="150"/>
    </row>
    <row r="169" spans="1:7" ht="17.25" customHeight="1">
      <c r="A169" s="172"/>
      <c r="B169" s="145"/>
      <c r="C169" s="146"/>
      <c r="D169" s="144"/>
      <c r="E169" s="144"/>
      <c r="F169" s="150"/>
      <c r="G169" s="150"/>
    </row>
    <row r="170" spans="1:7" ht="30" customHeight="1">
      <c r="A170" s="322" t="s">
        <v>302</v>
      </c>
      <c r="B170" s="331"/>
      <c r="C170" s="331"/>
      <c r="D170" s="331"/>
      <c r="E170" s="331"/>
      <c r="F170" s="150"/>
      <c r="G170" s="150"/>
    </row>
    <row r="171" spans="1:7" ht="26.25" customHeight="1">
      <c r="A171" s="24" t="s">
        <v>212</v>
      </c>
      <c r="B171" s="24" t="s">
        <v>213</v>
      </c>
      <c r="C171" s="24" t="s">
        <v>214</v>
      </c>
      <c r="D171" s="24" t="s">
        <v>215</v>
      </c>
      <c r="E171" s="89" t="s">
        <v>216</v>
      </c>
      <c r="F171" s="150"/>
      <c r="G171" s="150"/>
    </row>
    <row r="172" spans="1:7" ht="17.25" customHeight="1">
      <c r="A172" s="325" t="s">
        <v>223</v>
      </c>
      <c r="B172" s="326"/>
      <c r="C172" s="327"/>
      <c r="D172" s="41"/>
      <c r="E172" s="40"/>
      <c r="F172" s="150"/>
      <c r="G172" s="150"/>
    </row>
    <row r="173" spans="1:7" ht="28.5" customHeight="1">
      <c r="A173" s="61" t="s">
        <v>342</v>
      </c>
      <c r="B173" s="61">
        <v>20</v>
      </c>
      <c r="C173" s="61" t="s">
        <v>224</v>
      </c>
      <c r="D173" s="41" t="s">
        <v>343</v>
      </c>
      <c r="E173" s="61">
        <v>1167.1</v>
      </c>
      <c r="F173" s="150"/>
      <c r="G173" s="150"/>
    </row>
    <row r="174" spans="1:7" ht="26.25" customHeight="1">
      <c r="A174" s="61" t="s">
        <v>344</v>
      </c>
      <c r="B174" s="61">
        <v>18</v>
      </c>
      <c r="C174" s="61" t="s">
        <v>218</v>
      </c>
      <c r="D174" s="41" t="s">
        <v>345</v>
      </c>
      <c r="E174" s="61">
        <v>1439.55</v>
      </c>
      <c r="F174" s="150"/>
      <c r="G174" s="150"/>
    </row>
    <row r="175" spans="1:7" ht="24" customHeight="1">
      <c r="A175" s="61" t="s">
        <v>346</v>
      </c>
      <c r="B175" s="61">
        <v>7</v>
      </c>
      <c r="C175" s="61" t="s">
        <v>228</v>
      </c>
      <c r="D175" s="41" t="s">
        <v>347</v>
      </c>
      <c r="E175" s="61">
        <v>735</v>
      </c>
      <c r="F175" s="150"/>
      <c r="G175" s="150"/>
    </row>
    <row r="176" spans="1:7" ht="24" customHeight="1">
      <c r="A176" s="61" t="s">
        <v>348</v>
      </c>
      <c r="B176" s="61">
        <v>10</v>
      </c>
      <c r="C176" s="61" t="s">
        <v>224</v>
      </c>
      <c r="D176" s="24" t="s">
        <v>349</v>
      </c>
      <c r="E176" s="61">
        <v>579.7</v>
      </c>
      <c r="F176" s="150"/>
      <c r="G176" s="150"/>
    </row>
    <row r="177" spans="1:7" ht="17.25" customHeight="1">
      <c r="A177" s="41"/>
      <c r="B177" s="171">
        <f>SUM(B173:B176)</f>
        <v>55</v>
      </c>
      <c r="C177" s="171"/>
      <c r="D177" s="171"/>
      <c r="E177" s="171">
        <f>SUM(E173:E176)</f>
        <v>3921.3499999999995</v>
      </c>
      <c r="F177" s="150"/>
      <c r="G177" s="150"/>
    </row>
    <row r="178" spans="1:7" ht="17.25" customHeight="1">
      <c r="A178" s="325" t="s">
        <v>217</v>
      </c>
      <c r="B178" s="326"/>
      <c r="C178" s="327"/>
      <c r="D178" s="41"/>
      <c r="E178" s="40"/>
      <c r="F178" s="150"/>
      <c r="G178" s="150"/>
    </row>
    <row r="179" spans="1:8" ht="17.25" customHeight="1">
      <c r="A179" s="61" t="s">
        <v>350</v>
      </c>
      <c r="B179" s="61">
        <v>18</v>
      </c>
      <c r="C179" s="41" t="s">
        <v>224</v>
      </c>
      <c r="D179" s="41" t="s">
        <v>351</v>
      </c>
      <c r="E179" s="61">
        <v>1075</v>
      </c>
      <c r="F179" s="150"/>
      <c r="G179" s="150"/>
      <c r="H179" s="107">
        <f>B179+B186</f>
        <v>26</v>
      </c>
    </row>
    <row r="180" spans="1:8" ht="17.25" customHeight="1">
      <c r="A180" s="61" t="s">
        <v>352</v>
      </c>
      <c r="B180" s="61">
        <v>8</v>
      </c>
      <c r="C180" s="200" t="s">
        <v>353</v>
      </c>
      <c r="D180" s="41" t="s">
        <v>354</v>
      </c>
      <c r="E180" s="41">
        <v>1046.4</v>
      </c>
      <c r="F180" s="150"/>
      <c r="G180" s="150"/>
      <c r="H180" s="107">
        <f>B183+B185</f>
        <v>26</v>
      </c>
    </row>
    <row r="181" spans="1:8" ht="17.25" customHeight="1">
      <c r="A181" s="61" t="s">
        <v>355</v>
      </c>
      <c r="B181" s="61">
        <v>3</v>
      </c>
      <c r="C181" s="198" t="s">
        <v>246</v>
      </c>
      <c r="D181" s="41" t="s">
        <v>356</v>
      </c>
      <c r="E181" s="61">
        <v>790</v>
      </c>
      <c r="F181" s="150"/>
      <c r="G181" s="150"/>
      <c r="H181" s="107">
        <f>B184</f>
        <v>1</v>
      </c>
    </row>
    <row r="182" spans="1:7" ht="17.25" customHeight="1">
      <c r="A182" s="61" t="s">
        <v>357</v>
      </c>
      <c r="B182" s="61">
        <v>2</v>
      </c>
      <c r="C182" s="198" t="s">
        <v>233</v>
      </c>
      <c r="D182" s="41" t="s">
        <v>358</v>
      </c>
      <c r="E182" s="61">
        <v>185</v>
      </c>
      <c r="F182" s="150"/>
      <c r="G182" s="150"/>
    </row>
    <row r="183" spans="1:7" ht="17.25" customHeight="1">
      <c r="A183" s="61" t="s">
        <v>359</v>
      </c>
      <c r="B183" s="61">
        <v>20</v>
      </c>
      <c r="C183" s="41" t="s">
        <v>218</v>
      </c>
      <c r="D183" s="41" t="s">
        <v>360</v>
      </c>
      <c r="E183" s="61">
        <v>1218</v>
      </c>
      <c r="F183" s="150"/>
      <c r="G183" s="150"/>
    </row>
    <row r="184" spans="1:7" ht="17.25" customHeight="1">
      <c r="A184" s="61" t="s">
        <v>361</v>
      </c>
      <c r="B184" s="61">
        <v>1</v>
      </c>
      <c r="C184" s="41" t="s">
        <v>238</v>
      </c>
      <c r="D184" s="41" t="s">
        <v>362</v>
      </c>
      <c r="E184" s="61">
        <v>75</v>
      </c>
      <c r="F184" s="150"/>
      <c r="G184" s="150"/>
    </row>
    <row r="185" spans="1:7" ht="17.25" customHeight="1">
      <c r="A185" s="61" t="s">
        <v>363</v>
      </c>
      <c r="B185" s="61">
        <v>6</v>
      </c>
      <c r="C185" s="41" t="s">
        <v>368</v>
      </c>
      <c r="D185" s="41" t="s">
        <v>364</v>
      </c>
      <c r="E185" s="61">
        <v>366</v>
      </c>
      <c r="F185" s="150"/>
      <c r="G185" s="150"/>
    </row>
    <row r="186" spans="1:7" ht="17.25" customHeight="1">
      <c r="A186" s="61" t="s">
        <v>365</v>
      </c>
      <c r="B186" s="61">
        <v>8</v>
      </c>
      <c r="C186" s="41" t="s">
        <v>366</v>
      </c>
      <c r="D186" s="41" t="s">
        <v>367</v>
      </c>
      <c r="E186" s="61">
        <v>345</v>
      </c>
      <c r="F186" s="150"/>
      <c r="G186" s="150"/>
    </row>
    <row r="187" spans="1:7" ht="17.25" customHeight="1">
      <c r="A187" s="41"/>
      <c r="B187" s="171">
        <f>SUM(B179:B186)</f>
        <v>66</v>
      </c>
      <c r="C187" s="171"/>
      <c r="D187" s="171"/>
      <c r="E187" s="172">
        <f>SUM(E179:E186)</f>
        <v>5100.4</v>
      </c>
      <c r="F187" s="150"/>
      <c r="G187" s="150"/>
    </row>
    <row r="188" spans="1:7" ht="17.25" customHeight="1">
      <c r="A188" s="171" t="s">
        <v>14</v>
      </c>
      <c r="B188" s="144">
        <f>B177+B187</f>
        <v>121</v>
      </c>
      <c r="C188" s="144"/>
      <c r="D188" s="144"/>
      <c r="E188" s="144">
        <f>E177+E187</f>
        <v>9021.75</v>
      </c>
      <c r="F188" s="150"/>
      <c r="G188" s="150"/>
    </row>
    <row r="189" spans="1:7" ht="17.25" customHeight="1">
      <c r="A189" s="180"/>
      <c r="B189" s="145"/>
      <c r="C189" s="146"/>
      <c r="D189" s="144"/>
      <c r="E189" s="144"/>
      <c r="F189" s="150"/>
      <c r="G189" s="150"/>
    </row>
    <row r="190" spans="1:7" ht="28.5" customHeight="1">
      <c r="A190" s="322" t="s">
        <v>428</v>
      </c>
      <c r="B190" s="331"/>
      <c r="C190" s="331"/>
      <c r="D190" s="331"/>
      <c r="E190" s="331"/>
      <c r="F190" s="150"/>
      <c r="G190" s="150"/>
    </row>
    <row r="191" spans="1:7" ht="24.75" customHeight="1">
      <c r="A191" s="24" t="s">
        <v>212</v>
      </c>
      <c r="B191" s="24" t="s">
        <v>213</v>
      </c>
      <c r="C191" s="24" t="s">
        <v>214</v>
      </c>
      <c r="D191" s="24" t="s">
        <v>215</v>
      </c>
      <c r="E191" s="89" t="s">
        <v>216</v>
      </c>
      <c r="F191" s="150"/>
      <c r="G191" s="150"/>
    </row>
    <row r="192" spans="1:7" ht="17.25" customHeight="1">
      <c r="A192" s="325" t="s">
        <v>223</v>
      </c>
      <c r="B192" s="326"/>
      <c r="C192" s="327"/>
      <c r="D192" s="41"/>
      <c r="E192" s="40"/>
      <c r="F192" s="150"/>
      <c r="G192" s="150"/>
    </row>
    <row r="193" spans="1:7" ht="17.25" customHeight="1">
      <c r="A193" s="71">
        <v>760</v>
      </c>
      <c r="B193" s="41">
        <v>1</v>
      </c>
      <c r="C193" s="41" t="s">
        <v>225</v>
      </c>
      <c r="D193" s="41" t="s">
        <v>369</v>
      </c>
      <c r="E193" s="41">
        <v>70</v>
      </c>
      <c r="F193" s="150"/>
      <c r="G193" s="150"/>
    </row>
    <row r="194" spans="1:7" ht="17.25" customHeight="1">
      <c r="A194" s="41">
        <v>761</v>
      </c>
      <c r="B194" s="41">
        <v>5</v>
      </c>
      <c r="C194" s="41" t="s">
        <v>228</v>
      </c>
      <c r="D194" s="41" t="s">
        <v>370</v>
      </c>
      <c r="E194" s="41">
        <v>519</v>
      </c>
      <c r="F194" s="150"/>
      <c r="G194" s="150"/>
    </row>
    <row r="195" spans="1:7" ht="17.25" customHeight="1">
      <c r="A195" s="41"/>
      <c r="B195" s="179">
        <f>SUM(B193:B194)</f>
        <v>6</v>
      </c>
      <c r="C195" s="179"/>
      <c r="D195" s="179"/>
      <c r="E195" s="179">
        <f>SUM(E193:E194)</f>
        <v>589</v>
      </c>
      <c r="F195" s="150"/>
      <c r="G195" s="150"/>
    </row>
    <row r="196" spans="1:7" ht="17.25" customHeight="1">
      <c r="A196" s="325" t="s">
        <v>217</v>
      </c>
      <c r="B196" s="326"/>
      <c r="C196" s="327"/>
      <c r="D196" s="41"/>
      <c r="E196" s="40"/>
      <c r="F196" s="150"/>
      <c r="G196" s="150"/>
    </row>
    <row r="197" spans="1:7" ht="27" customHeight="1">
      <c r="A197" s="41">
        <v>764</v>
      </c>
      <c r="B197" s="61">
        <v>20</v>
      </c>
      <c r="C197" s="153" t="s">
        <v>353</v>
      </c>
      <c r="D197" s="41" t="s">
        <v>372</v>
      </c>
      <c r="E197" s="41">
        <v>2158</v>
      </c>
      <c r="F197" s="150"/>
      <c r="G197" s="150"/>
    </row>
    <row r="198" spans="1:7" ht="17.25" customHeight="1">
      <c r="A198" s="46">
        <v>762</v>
      </c>
      <c r="B198" s="46">
        <v>8</v>
      </c>
      <c r="C198" s="46" t="s">
        <v>218</v>
      </c>
      <c r="D198" s="41" t="s">
        <v>367</v>
      </c>
      <c r="E198" s="46">
        <v>583</v>
      </c>
      <c r="F198" s="150"/>
      <c r="G198" s="150"/>
    </row>
    <row r="199" spans="1:7" ht="17.25" customHeight="1">
      <c r="A199" s="46">
        <v>763</v>
      </c>
      <c r="B199" s="46">
        <v>2</v>
      </c>
      <c r="C199" s="46" t="s">
        <v>238</v>
      </c>
      <c r="D199" s="41" t="s">
        <v>371</v>
      </c>
      <c r="E199" s="46">
        <v>162</v>
      </c>
      <c r="F199" s="150"/>
      <c r="G199" s="150"/>
    </row>
    <row r="200" spans="1:7" ht="17.25" customHeight="1">
      <c r="A200" s="41"/>
      <c r="B200" s="179">
        <f>SUM(B197:B199)</f>
        <v>30</v>
      </c>
      <c r="C200" s="179"/>
      <c r="D200" s="179"/>
      <c r="E200" s="180">
        <f>SUM(E197:E199)</f>
        <v>2903</v>
      </c>
      <c r="F200" s="150"/>
      <c r="G200" s="150"/>
    </row>
    <row r="201" spans="1:7" ht="17.25" customHeight="1">
      <c r="A201" s="179" t="s">
        <v>14</v>
      </c>
      <c r="B201" s="144">
        <f>B195+B200</f>
        <v>36</v>
      </c>
      <c r="C201" s="144"/>
      <c r="D201" s="144"/>
      <c r="E201" s="144">
        <f>E195+E200</f>
        <v>3492</v>
      </c>
      <c r="F201" s="150"/>
      <c r="G201" s="150"/>
    </row>
    <row r="202" spans="1:7" ht="17.25" customHeight="1">
      <c r="A202" s="180"/>
      <c r="B202" s="145"/>
      <c r="C202" s="146"/>
      <c r="D202" s="144"/>
      <c r="E202" s="144"/>
      <c r="F202" s="150"/>
      <c r="G202" s="150"/>
    </row>
    <row r="203" spans="1:7" ht="26.25" customHeight="1">
      <c r="A203" s="322" t="s">
        <v>429</v>
      </c>
      <c r="B203" s="331"/>
      <c r="C203" s="331"/>
      <c r="D203" s="331"/>
      <c r="E203" s="331"/>
      <c r="F203" s="150"/>
      <c r="G203" s="150"/>
    </row>
    <row r="204" spans="1:7" ht="17.25" customHeight="1">
      <c r="A204" s="24" t="s">
        <v>212</v>
      </c>
      <c r="B204" s="24" t="s">
        <v>213</v>
      </c>
      <c r="C204" s="24" t="s">
        <v>214</v>
      </c>
      <c r="D204" s="24" t="s">
        <v>215</v>
      </c>
      <c r="E204" s="89" t="s">
        <v>216</v>
      </c>
      <c r="F204" s="150"/>
      <c r="G204" s="150"/>
    </row>
    <row r="205" spans="1:7" ht="17.25" customHeight="1">
      <c r="A205" s="325" t="s">
        <v>223</v>
      </c>
      <c r="B205" s="326"/>
      <c r="C205" s="327"/>
      <c r="D205" s="41"/>
      <c r="E205" s="40"/>
      <c r="F205" s="150"/>
      <c r="G205" s="150"/>
    </row>
    <row r="206" spans="1:7" ht="17.25" customHeight="1">
      <c r="A206" s="159">
        <v>434</v>
      </c>
      <c r="B206" s="159">
        <v>5</v>
      </c>
      <c r="C206" s="159" t="s">
        <v>228</v>
      </c>
      <c r="D206" s="157" t="s">
        <v>373</v>
      </c>
      <c r="E206" s="159">
        <v>540</v>
      </c>
      <c r="F206" s="150"/>
      <c r="G206" s="150"/>
    </row>
    <row r="207" spans="1:7" ht="17.25" customHeight="1">
      <c r="A207" s="159">
        <v>434</v>
      </c>
      <c r="B207" s="159">
        <v>1</v>
      </c>
      <c r="C207" s="159" t="s">
        <v>225</v>
      </c>
      <c r="D207" s="142" t="s">
        <v>374</v>
      </c>
      <c r="E207" s="159">
        <v>85</v>
      </c>
      <c r="F207" s="150"/>
      <c r="G207" s="150"/>
    </row>
    <row r="208" spans="1:7" ht="17.25" customHeight="1">
      <c r="A208" s="41"/>
      <c r="B208" s="179">
        <f>SUM(B206:B207)</f>
        <v>6</v>
      </c>
      <c r="C208" s="179"/>
      <c r="D208" s="179"/>
      <c r="E208" s="179">
        <f>SUM(E206:E207)</f>
        <v>625</v>
      </c>
      <c r="F208" s="150"/>
      <c r="G208" s="150"/>
    </row>
    <row r="209" spans="1:7" ht="17.25" customHeight="1">
      <c r="A209" s="325" t="s">
        <v>217</v>
      </c>
      <c r="B209" s="326"/>
      <c r="C209" s="327"/>
      <c r="D209" s="41"/>
      <c r="E209" s="40"/>
      <c r="F209" s="150"/>
      <c r="G209" s="150"/>
    </row>
    <row r="210" spans="1:7" ht="17.25" customHeight="1">
      <c r="A210" s="19">
        <v>436</v>
      </c>
      <c r="B210" s="202">
        <v>1</v>
      </c>
      <c r="C210" s="158" t="s">
        <v>233</v>
      </c>
      <c r="D210" s="202" t="s">
        <v>375</v>
      </c>
      <c r="E210" s="202">
        <v>124</v>
      </c>
      <c r="F210" s="150"/>
      <c r="G210" s="150"/>
    </row>
    <row r="211" spans="1:7" ht="17.25" customHeight="1">
      <c r="A211" s="159">
        <v>435</v>
      </c>
      <c r="B211" s="201">
        <v>1</v>
      </c>
      <c r="C211" s="201" t="s">
        <v>225</v>
      </c>
      <c r="D211" s="120" t="s">
        <v>362</v>
      </c>
      <c r="E211" s="203">
        <v>60</v>
      </c>
      <c r="F211" s="150"/>
      <c r="G211" s="150"/>
    </row>
    <row r="212" spans="1:7" ht="17.25" customHeight="1">
      <c r="A212" s="19">
        <v>435</v>
      </c>
      <c r="B212" s="202">
        <v>5</v>
      </c>
      <c r="C212" s="202" t="s">
        <v>228</v>
      </c>
      <c r="D212" s="120" t="s">
        <v>377</v>
      </c>
      <c r="E212" s="202">
        <v>450</v>
      </c>
      <c r="F212" s="150"/>
      <c r="G212" s="150"/>
    </row>
    <row r="213" spans="1:7" ht="17.25" customHeight="1">
      <c r="A213" s="19">
        <v>435</v>
      </c>
      <c r="B213" s="202">
        <v>2</v>
      </c>
      <c r="C213" s="158" t="s">
        <v>233</v>
      </c>
      <c r="D213" s="202" t="s">
        <v>376</v>
      </c>
      <c r="E213" s="202">
        <v>225</v>
      </c>
      <c r="F213" s="150"/>
      <c r="G213" s="150"/>
    </row>
    <row r="214" spans="1:7" ht="17.25" customHeight="1">
      <c r="A214" s="41"/>
      <c r="B214" s="179">
        <f>SUM(B210:B213)</f>
        <v>9</v>
      </c>
      <c r="C214" s="179"/>
      <c r="D214" s="179"/>
      <c r="E214" s="180">
        <f>SUM(E210:E213)</f>
        <v>859</v>
      </c>
      <c r="F214" s="150"/>
      <c r="G214" s="150"/>
    </row>
    <row r="215" spans="1:7" ht="17.25" customHeight="1">
      <c r="A215" s="179" t="s">
        <v>14</v>
      </c>
      <c r="B215" s="144">
        <f>B208+B214</f>
        <v>15</v>
      </c>
      <c r="C215" s="144"/>
      <c r="D215" s="144"/>
      <c r="E215" s="144">
        <f>E208+E214</f>
        <v>1484</v>
      </c>
      <c r="F215" s="150"/>
      <c r="G215" s="150"/>
    </row>
    <row r="216" spans="1:7" ht="17.25" customHeight="1">
      <c r="A216" s="180"/>
      <c r="B216" s="145"/>
      <c r="C216" s="146"/>
      <c r="D216" s="144"/>
      <c r="E216" s="144"/>
      <c r="F216" s="150"/>
      <c r="G216" s="150"/>
    </row>
    <row r="217" spans="1:7" ht="27" customHeight="1">
      <c r="A217" s="322" t="s">
        <v>430</v>
      </c>
      <c r="B217" s="331"/>
      <c r="C217" s="331"/>
      <c r="D217" s="331"/>
      <c r="E217" s="331"/>
      <c r="F217" s="150"/>
      <c r="G217" s="150"/>
    </row>
    <row r="218" spans="1:7" ht="23.25" customHeight="1">
      <c r="A218" s="24" t="s">
        <v>212</v>
      </c>
      <c r="B218" s="24" t="s">
        <v>213</v>
      </c>
      <c r="C218" s="24" t="s">
        <v>214</v>
      </c>
      <c r="D218" s="24" t="s">
        <v>215</v>
      </c>
      <c r="E218" s="89" t="s">
        <v>216</v>
      </c>
      <c r="F218" s="150"/>
      <c r="G218" s="150"/>
    </row>
    <row r="219" spans="1:7" ht="17.25" customHeight="1">
      <c r="A219" s="325" t="s">
        <v>223</v>
      </c>
      <c r="B219" s="326"/>
      <c r="C219" s="327"/>
      <c r="D219" s="41"/>
      <c r="E219" s="40"/>
      <c r="F219" s="150"/>
      <c r="G219" s="150"/>
    </row>
    <row r="220" spans="1:7" ht="17.25" customHeight="1">
      <c r="A220" s="41">
        <v>1002</v>
      </c>
      <c r="B220" s="41">
        <v>4</v>
      </c>
      <c r="C220" s="41" t="s">
        <v>238</v>
      </c>
      <c r="D220" s="41" t="s">
        <v>378</v>
      </c>
      <c r="E220" s="41">
        <v>426</v>
      </c>
      <c r="F220" s="150"/>
      <c r="G220" s="150"/>
    </row>
    <row r="221" spans="1:7" ht="17.25" customHeight="1">
      <c r="A221" s="41">
        <v>1006</v>
      </c>
      <c r="B221" s="41">
        <v>1</v>
      </c>
      <c r="C221" s="41" t="s">
        <v>218</v>
      </c>
      <c r="D221" s="41" t="s">
        <v>379</v>
      </c>
      <c r="E221" s="41">
        <v>72</v>
      </c>
      <c r="F221" s="150"/>
      <c r="G221" s="150"/>
    </row>
    <row r="222" spans="1:7" ht="17.25" customHeight="1">
      <c r="A222" s="41">
        <v>1007</v>
      </c>
      <c r="B222" s="41">
        <v>2</v>
      </c>
      <c r="C222" s="41" t="s">
        <v>238</v>
      </c>
      <c r="D222" s="41" t="s">
        <v>380</v>
      </c>
      <c r="E222" s="41">
        <v>213</v>
      </c>
      <c r="F222" s="150"/>
      <c r="G222" s="150"/>
    </row>
    <row r="223" spans="1:7" ht="17.25" customHeight="1">
      <c r="A223" s="41"/>
      <c r="B223" s="181">
        <f>SUM(B220:B222)</f>
        <v>7</v>
      </c>
      <c r="C223" s="181"/>
      <c r="D223" s="179"/>
      <c r="E223" s="179">
        <f>SUM(E220:E222)</f>
        <v>711</v>
      </c>
      <c r="F223" s="150"/>
      <c r="G223" s="150"/>
    </row>
    <row r="224" spans="1:7" ht="17.25" customHeight="1">
      <c r="A224" s="325" t="s">
        <v>217</v>
      </c>
      <c r="B224" s="326"/>
      <c r="C224" s="327"/>
      <c r="D224" s="41"/>
      <c r="E224" s="40"/>
      <c r="F224" s="150"/>
      <c r="G224" s="150"/>
    </row>
    <row r="225" spans="1:8" ht="17.25" customHeight="1">
      <c r="A225" s="71">
        <v>1003</v>
      </c>
      <c r="B225" s="96">
        <v>27</v>
      </c>
      <c r="C225" s="71" t="s">
        <v>218</v>
      </c>
      <c r="D225" s="41" t="s">
        <v>381</v>
      </c>
      <c r="E225" s="71">
        <v>2471</v>
      </c>
      <c r="F225" s="150"/>
      <c r="G225" s="182"/>
      <c r="H225" s="107">
        <f>B225+B226+B228+B229</f>
        <v>41</v>
      </c>
    </row>
    <row r="226" spans="1:8" ht="17.25" customHeight="1">
      <c r="A226" s="71">
        <v>1004</v>
      </c>
      <c r="B226" s="96">
        <v>3</v>
      </c>
      <c r="C226" s="71" t="s">
        <v>218</v>
      </c>
      <c r="D226" s="41" t="s">
        <v>382</v>
      </c>
      <c r="E226" s="71">
        <v>264</v>
      </c>
      <c r="F226" s="150"/>
      <c r="G226" s="150"/>
      <c r="H226" s="107">
        <f>B227+B230</f>
        <v>2</v>
      </c>
    </row>
    <row r="227" spans="1:7" ht="17.25" customHeight="1">
      <c r="A227" s="71">
        <v>1005</v>
      </c>
      <c r="B227" s="96">
        <v>1</v>
      </c>
      <c r="C227" s="71" t="s">
        <v>228</v>
      </c>
      <c r="D227" s="41" t="s">
        <v>362</v>
      </c>
      <c r="E227" s="71">
        <v>100</v>
      </c>
      <c r="F227" s="150"/>
      <c r="G227" s="150"/>
    </row>
    <row r="228" spans="1:7" ht="17.25" customHeight="1">
      <c r="A228" s="71">
        <v>1009</v>
      </c>
      <c r="B228" s="96">
        <v>8</v>
      </c>
      <c r="C228" s="71" t="s">
        <v>218</v>
      </c>
      <c r="D228" s="41" t="s">
        <v>367</v>
      </c>
      <c r="E228" s="71">
        <v>734</v>
      </c>
      <c r="F228" s="150"/>
      <c r="G228" s="150"/>
    </row>
    <row r="229" spans="1:7" ht="17.25" customHeight="1">
      <c r="A229" s="71">
        <v>1010</v>
      </c>
      <c r="B229" s="96">
        <v>3</v>
      </c>
      <c r="C229" s="71" t="s">
        <v>218</v>
      </c>
      <c r="D229" s="41" t="s">
        <v>382</v>
      </c>
      <c r="E229" s="71">
        <v>254</v>
      </c>
      <c r="F229" s="150"/>
      <c r="G229" s="150"/>
    </row>
    <row r="230" spans="1:7" ht="17.25" customHeight="1">
      <c r="A230" s="71">
        <v>1011</v>
      </c>
      <c r="B230" s="96">
        <v>1</v>
      </c>
      <c r="C230" s="71" t="s">
        <v>238</v>
      </c>
      <c r="D230" s="41" t="s">
        <v>362</v>
      </c>
      <c r="E230" s="71">
        <v>100</v>
      </c>
      <c r="F230" s="150"/>
      <c r="G230" s="150"/>
    </row>
    <row r="231" spans="1:7" ht="17.25" customHeight="1">
      <c r="A231" s="41"/>
      <c r="B231" s="181">
        <f>SUM(B225:B230)</f>
        <v>43</v>
      </c>
      <c r="C231" s="181"/>
      <c r="D231" s="179"/>
      <c r="E231" s="180">
        <f>SUM(E225:E230)</f>
        <v>3923</v>
      </c>
      <c r="F231" s="150"/>
      <c r="G231" s="150"/>
    </row>
    <row r="232" spans="1:7" ht="17.25" customHeight="1">
      <c r="A232" s="325" t="s">
        <v>230</v>
      </c>
      <c r="B232" s="326"/>
      <c r="C232" s="327"/>
      <c r="D232" s="179"/>
      <c r="E232" s="180"/>
      <c r="F232" s="150"/>
      <c r="G232" s="150"/>
    </row>
    <row r="233" spans="1:7" ht="17.25" customHeight="1">
      <c r="A233" s="71">
        <v>1008</v>
      </c>
      <c r="B233" s="96">
        <v>1</v>
      </c>
      <c r="C233" s="71" t="s">
        <v>218</v>
      </c>
      <c r="D233" s="41" t="s">
        <v>362</v>
      </c>
      <c r="E233" s="71">
        <v>45</v>
      </c>
      <c r="F233" s="150"/>
      <c r="G233" s="150"/>
    </row>
    <row r="234" spans="1:7" ht="17.25" customHeight="1">
      <c r="A234" s="41"/>
      <c r="B234" s="179">
        <f>B233</f>
        <v>1</v>
      </c>
      <c r="C234" s="179"/>
      <c r="D234" s="179"/>
      <c r="E234" s="179">
        <f>E233</f>
        <v>45</v>
      </c>
      <c r="F234" s="150"/>
      <c r="G234" s="150"/>
    </row>
    <row r="235" spans="1:7" ht="17.25" customHeight="1">
      <c r="A235" s="179" t="s">
        <v>14</v>
      </c>
      <c r="B235" s="144">
        <f>B223+B231+B234</f>
        <v>51</v>
      </c>
      <c r="C235" s="144"/>
      <c r="D235" s="144"/>
      <c r="E235" s="144">
        <f>E223+E231+E234</f>
        <v>4679</v>
      </c>
      <c r="F235" s="150"/>
      <c r="G235" s="150"/>
    </row>
    <row r="236" spans="1:7" ht="17.25" customHeight="1">
      <c r="A236" s="184"/>
      <c r="B236" s="145"/>
      <c r="C236" s="146"/>
      <c r="D236" s="144"/>
      <c r="E236" s="144"/>
      <c r="F236" s="150"/>
      <c r="G236" s="150"/>
    </row>
    <row r="237" spans="1:7" ht="25.5" customHeight="1">
      <c r="A237" s="322" t="s">
        <v>431</v>
      </c>
      <c r="B237" s="331"/>
      <c r="C237" s="331"/>
      <c r="D237" s="331"/>
      <c r="E237" s="331"/>
      <c r="F237" s="150"/>
      <c r="G237" s="150"/>
    </row>
    <row r="238" spans="1:7" ht="22.5" customHeight="1">
      <c r="A238" s="24" t="s">
        <v>212</v>
      </c>
      <c r="B238" s="24" t="s">
        <v>213</v>
      </c>
      <c r="C238" s="24" t="s">
        <v>214</v>
      </c>
      <c r="D238" s="24" t="s">
        <v>215</v>
      </c>
      <c r="E238" s="89" t="s">
        <v>216</v>
      </c>
      <c r="F238" s="150"/>
      <c r="G238" s="150"/>
    </row>
    <row r="239" spans="1:7" ht="17.25" customHeight="1">
      <c r="A239" s="341" t="s">
        <v>223</v>
      </c>
      <c r="B239" s="342"/>
      <c r="C239" s="343"/>
      <c r="D239" s="24"/>
      <c r="E239" s="89"/>
      <c r="F239" s="150"/>
      <c r="G239" s="150"/>
    </row>
    <row r="240" spans="1:7" ht="17.25" customHeight="1">
      <c r="A240" s="212" t="s">
        <v>411</v>
      </c>
      <c r="B240" s="213">
        <v>5</v>
      </c>
      <c r="C240" s="213" t="s">
        <v>224</v>
      </c>
      <c r="D240" s="213" t="s">
        <v>401</v>
      </c>
      <c r="E240" s="212">
        <v>303</v>
      </c>
      <c r="F240" s="150"/>
      <c r="G240" s="150"/>
    </row>
    <row r="241" spans="1:7" ht="17.25" customHeight="1">
      <c r="A241" s="24" t="s">
        <v>412</v>
      </c>
      <c r="B241" s="24">
        <v>12</v>
      </c>
      <c r="C241" s="24" t="s">
        <v>225</v>
      </c>
      <c r="D241" s="24" t="s">
        <v>402</v>
      </c>
      <c r="E241" s="24">
        <v>941</v>
      </c>
      <c r="F241" s="150"/>
      <c r="G241" s="150"/>
    </row>
    <row r="242" spans="1:7" ht="17.25" customHeight="1">
      <c r="A242" s="24" t="s">
        <v>413</v>
      </c>
      <c r="B242" s="24">
        <v>4</v>
      </c>
      <c r="C242" s="24" t="s">
        <v>228</v>
      </c>
      <c r="D242" s="24" t="s">
        <v>408</v>
      </c>
      <c r="E242" s="24">
        <v>422</v>
      </c>
      <c r="F242" s="150"/>
      <c r="G242" s="150"/>
    </row>
    <row r="243" spans="1:7" ht="17.25" customHeight="1">
      <c r="A243" s="24"/>
      <c r="B243" s="73">
        <f>SUM(B240:B242)</f>
        <v>21</v>
      </c>
      <c r="C243" s="73"/>
      <c r="D243" s="73"/>
      <c r="E243" s="73">
        <f>SUM(E240:E242)</f>
        <v>1666</v>
      </c>
      <c r="F243" s="150"/>
      <c r="G243" s="150"/>
    </row>
    <row r="244" spans="1:7" ht="17.25" customHeight="1">
      <c r="A244" s="341" t="s">
        <v>217</v>
      </c>
      <c r="B244" s="342"/>
      <c r="C244" s="343"/>
      <c r="D244" s="24"/>
      <c r="E244" s="89"/>
      <c r="F244" s="150"/>
      <c r="G244" s="150"/>
    </row>
    <row r="245" spans="1:7" ht="17.25" customHeight="1">
      <c r="A245" s="212" t="s">
        <v>414</v>
      </c>
      <c r="B245" s="215">
        <v>11</v>
      </c>
      <c r="C245" s="216" t="s">
        <v>224</v>
      </c>
      <c r="D245" s="215" t="s">
        <v>403</v>
      </c>
      <c r="E245" s="216">
        <v>562</v>
      </c>
      <c r="F245" s="150"/>
      <c r="G245" s="150"/>
    </row>
    <row r="246" spans="1:7" ht="17.25" customHeight="1">
      <c r="A246" s="24" t="s">
        <v>419</v>
      </c>
      <c r="B246" s="217">
        <v>4</v>
      </c>
      <c r="C246" s="200" t="s">
        <v>242</v>
      </c>
      <c r="D246" s="217" t="s">
        <v>404</v>
      </c>
      <c r="E246" s="217">
        <v>882</v>
      </c>
      <c r="F246" s="150"/>
      <c r="G246" s="150"/>
    </row>
    <row r="247" spans="1:7" ht="17.25" customHeight="1">
      <c r="A247" s="24" t="s">
        <v>416</v>
      </c>
      <c r="B247" s="217">
        <v>3</v>
      </c>
      <c r="C247" s="200" t="s">
        <v>246</v>
      </c>
      <c r="D247" s="217" t="s">
        <v>405</v>
      </c>
      <c r="E247" s="217">
        <v>865</v>
      </c>
      <c r="F247" s="150"/>
      <c r="G247" s="150"/>
    </row>
    <row r="248" spans="1:7" ht="17.25" customHeight="1">
      <c r="A248" s="24" t="s">
        <v>417</v>
      </c>
      <c r="B248" s="217">
        <v>2</v>
      </c>
      <c r="C248" s="217" t="s">
        <v>224</v>
      </c>
      <c r="D248" s="217" t="s">
        <v>409</v>
      </c>
      <c r="E248" s="217">
        <v>105</v>
      </c>
      <c r="F248" s="150"/>
      <c r="G248" s="150"/>
    </row>
    <row r="249" spans="1:7" ht="17.25" customHeight="1">
      <c r="A249" s="24" t="s">
        <v>418</v>
      </c>
      <c r="B249" s="217">
        <v>2</v>
      </c>
      <c r="C249" s="217" t="s">
        <v>225</v>
      </c>
      <c r="D249" s="217" t="s">
        <v>410</v>
      </c>
      <c r="E249" s="217">
        <v>122</v>
      </c>
      <c r="F249" s="150"/>
      <c r="G249" s="150"/>
    </row>
    <row r="250" spans="1:7" ht="17.25" customHeight="1">
      <c r="A250" s="41"/>
      <c r="B250" s="186">
        <f>SUM(B245:B249)</f>
        <v>22</v>
      </c>
      <c r="C250" s="186"/>
      <c r="D250" s="186"/>
      <c r="E250" s="184">
        <f>SUM(E245:E249)</f>
        <v>2536</v>
      </c>
      <c r="F250" s="150"/>
      <c r="G250" s="150"/>
    </row>
    <row r="251" spans="1:7" ht="17.25" customHeight="1">
      <c r="A251" s="325" t="s">
        <v>229</v>
      </c>
      <c r="B251" s="326"/>
      <c r="C251" s="327"/>
      <c r="D251" s="186"/>
      <c r="E251" s="184"/>
      <c r="F251" s="150"/>
      <c r="G251" s="150"/>
    </row>
    <row r="252" spans="1:7" ht="17.25" customHeight="1">
      <c r="A252" s="41" t="s">
        <v>415</v>
      </c>
      <c r="B252" s="61">
        <v>3</v>
      </c>
      <c r="C252" s="61" t="s">
        <v>225</v>
      </c>
      <c r="D252" s="61" t="s">
        <v>407</v>
      </c>
      <c r="E252" s="41">
        <v>164</v>
      </c>
      <c r="F252" s="150"/>
      <c r="G252" s="150"/>
    </row>
    <row r="253" spans="1:7" ht="17.25" customHeight="1">
      <c r="A253" s="41"/>
      <c r="B253" s="186">
        <f>B252</f>
        <v>3</v>
      </c>
      <c r="C253" s="186"/>
      <c r="D253" s="186"/>
      <c r="E253" s="186">
        <f>E252</f>
        <v>164</v>
      </c>
      <c r="F253" s="150"/>
      <c r="G253" s="150"/>
    </row>
    <row r="254" spans="1:7" ht="17.25" customHeight="1">
      <c r="A254" s="325" t="s">
        <v>230</v>
      </c>
      <c r="B254" s="326"/>
      <c r="C254" s="327"/>
      <c r="D254" s="186"/>
      <c r="E254" s="186"/>
      <c r="F254" s="150"/>
      <c r="G254" s="150"/>
    </row>
    <row r="255" spans="1:7" ht="17.25" customHeight="1">
      <c r="A255" s="41" t="s">
        <v>420</v>
      </c>
      <c r="B255" s="41">
        <v>1</v>
      </c>
      <c r="C255" s="41" t="s">
        <v>225</v>
      </c>
      <c r="D255" s="41" t="s">
        <v>406</v>
      </c>
      <c r="E255" s="41">
        <v>64</v>
      </c>
      <c r="F255" s="150"/>
      <c r="G255" s="150"/>
    </row>
    <row r="256" spans="1:7" ht="17.25" customHeight="1">
      <c r="A256" s="185"/>
      <c r="B256" s="187">
        <f>B255</f>
        <v>1</v>
      </c>
      <c r="C256" s="187"/>
      <c r="D256" s="187"/>
      <c r="E256" s="187">
        <f>E255</f>
        <v>64</v>
      </c>
      <c r="F256" s="150"/>
      <c r="G256" s="150"/>
    </row>
    <row r="257" spans="1:7" ht="17.25" customHeight="1">
      <c r="A257" s="186" t="s">
        <v>14</v>
      </c>
      <c r="B257" s="144">
        <f>B243+B250+B253+B256</f>
        <v>47</v>
      </c>
      <c r="C257" s="144"/>
      <c r="D257" s="144"/>
      <c r="E257" s="144">
        <f>E243+E250+E253+E256</f>
        <v>4430</v>
      </c>
      <c r="F257" s="150"/>
      <c r="G257" s="150"/>
    </row>
    <row r="258" spans="1:7" ht="17.25" customHeight="1">
      <c r="A258" s="199"/>
      <c r="B258" s="145"/>
      <c r="C258" s="146"/>
      <c r="D258" s="144"/>
      <c r="E258" s="144"/>
      <c r="F258" s="150"/>
      <c r="G258" s="150"/>
    </row>
    <row r="259" spans="1:7" ht="32.25" customHeight="1">
      <c r="A259" s="322" t="s">
        <v>432</v>
      </c>
      <c r="B259" s="331"/>
      <c r="C259" s="331"/>
      <c r="D259" s="331"/>
      <c r="E259" s="331"/>
      <c r="F259" s="150"/>
      <c r="G259" s="150"/>
    </row>
    <row r="260" spans="1:7" ht="24" customHeight="1">
      <c r="A260" s="24" t="s">
        <v>212</v>
      </c>
      <c r="B260" s="24" t="s">
        <v>213</v>
      </c>
      <c r="C260" s="24" t="s">
        <v>214</v>
      </c>
      <c r="D260" s="24" t="s">
        <v>215</v>
      </c>
      <c r="E260" s="89" t="s">
        <v>216</v>
      </c>
      <c r="F260" s="150"/>
      <c r="G260" s="150"/>
    </row>
    <row r="261" spans="1:7" ht="17.25" customHeight="1">
      <c r="A261" s="325" t="s">
        <v>223</v>
      </c>
      <c r="B261" s="326"/>
      <c r="C261" s="327"/>
      <c r="D261" s="41"/>
      <c r="E261" s="40"/>
      <c r="F261" s="150"/>
      <c r="G261" s="150"/>
    </row>
    <row r="262" spans="1:7" ht="17.25" customHeight="1">
      <c r="A262" s="41">
        <v>904</v>
      </c>
      <c r="B262" s="61">
        <v>2</v>
      </c>
      <c r="C262" s="61" t="s">
        <v>224</v>
      </c>
      <c r="D262" s="41" t="s">
        <v>433</v>
      </c>
      <c r="E262" s="41">
        <v>119</v>
      </c>
      <c r="F262" s="150"/>
      <c r="G262" s="150"/>
    </row>
    <row r="263" spans="1:7" ht="30" customHeight="1">
      <c r="A263" s="41">
        <v>905</v>
      </c>
      <c r="B263" s="41">
        <v>24</v>
      </c>
      <c r="C263" s="41" t="s">
        <v>225</v>
      </c>
      <c r="D263" s="41" t="s">
        <v>434</v>
      </c>
      <c r="E263" s="41">
        <v>1820</v>
      </c>
      <c r="F263" s="150"/>
      <c r="G263" s="150"/>
    </row>
    <row r="264" spans="1:7" ht="17.25" customHeight="1">
      <c r="A264" s="41">
        <v>906</v>
      </c>
      <c r="B264" s="61">
        <v>5</v>
      </c>
      <c r="C264" s="61" t="s">
        <v>228</v>
      </c>
      <c r="D264" s="41" t="s">
        <v>435</v>
      </c>
      <c r="E264" s="41">
        <v>537</v>
      </c>
      <c r="F264" s="150"/>
      <c r="G264" s="150"/>
    </row>
    <row r="265" spans="1:7" ht="17.25" customHeight="1">
      <c r="A265" s="41"/>
      <c r="B265" s="218">
        <f>SUM(B262:B264)</f>
        <v>31</v>
      </c>
      <c r="C265" s="218"/>
      <c r="D265" s="197"/>
      <c r="E265" s="197">
        <f>SUM(E262:E264)</f>
        <v>2476</v>
      </c>
      <c r="F265" s="150"/>
      <c r="G265" s="150"/>
    </row>
    <row r="266" spans="1:7" ht="17.25" customHeight="1">
      <c r="A266" s="325" t="s">
        <v>217</v>
      </c>
      <c r="B266" s="326"/>
      <c r="C266" s="327"/>
      <c r="D266" s="41"/>
      <c r="E266" s="40"/>
      <c r="F266" s="150"/>
      <c r="G266" s="150"/>
    </row>
    <row r="267" spans="1:7" ht="17.25" customHeight="1">
      <c r="A267" s="41">
        <v>907</v>
      </c>
      <c r="B267" s="61">
        <v>23</v>
      </c>
      <c r="C267" s="61" t="s">
        <v>225</v>
      </c>
      <c r="D267" s="120" t="s">
        <v>436</v>
      </c>
      <c r="E267" s="41">
        <v>1238</v>
      </c>
      <c r="F267" s="150"/>
      <c r="G267" s="150"/>
    </row>
    <row r="268" spans="1:7" ht="17.25" customHeight="1">
      <c r="A268" s="41">
        <v>908</v>
      </c>
      <c r="B268" s="41">
        <v>17</v>
      </c>
      <c r="C268" s="41" t="s">
        <v>228</v>
      </c>
      <c r="D268" s="120" t="s">
        <v>437</v>
      </c>
      <c r="E268" s="41">
        <v>1399</v>
      </c>
      <c r="F268" s="150"/>
      <c r="G268" s="150"/>
    </row>
    <row r="269" spans="1:7" ht="17.25" customHeight="1">
      <c r="A269" s="41"/>
      <c r="B269" s="197">
        <f>SUM(B267:B268)</f>
        <v>40</v>
      </c>
      <c r="C269" s="197"/>
      <c r="D269" s="197"/>
      <c r="E269" s="199">
        <f>SUM(E267:E268)</f>
        <v>2637</v>
      </c>
      <c r="F269" s="150"/>
      <c r="G269" s="150"/>
    </row>
    <row r="270" spans="1:7" ht="17.25" customHeight="1">
      <c r="A270" s="197" t="s">
        <v>14</v>
      </c>
      <c r="B270" s="144">
        <f>B265+B269</f>
        <v>71</v>
      </c>
      <c r="C270" s="144"/>
      <c r="D270" s="144"/>
      <c r="E270" s="144">
        <f>E265+E269</f>
        <v>5113</v>
      </c>
      <c r="F270" s="150"/>
      <c r="G270" s="150"/>
    </row>
    <row r="271" spans="1:7" ht="17.25" customHeight="1">
      <c r="A271" s="223"/>
      <c r="B271" s="145"/>
      <c r="C271" s="146"/>
      <c r="D271" s="144"/>
      <c r="E271" s="144"/>
      <c r="F271" s="150"/>
      <c r="G271" s="150"/>
    </row>
    <row r="272" spans="1:7" ht="26.25" customHeight="1">
      <c r="A272" s="322" t="s">
        <v>450</v>
      </c>
      <c r="B272" s="331"/>
      <c r="C272" s="331"/>
      <c r="D272" s="331"/>
      <c r="E272" s="331"/>
      <c r="F272" s="150"/>
      <c r="G272" s="150"/>
    </row>
    <row r="273" spans="1:7" ht="26.25" customHeight="1">
      <c r="A273" s="24" t="s">
        <v>212</v>
      </c>
      <c r="B273" s="24" t="s">
        <v>213</v>
      </c>
      <c r="C273" s="24" t="s">
        <v>214</v>
      </c>
      <c r="D273" s="24" t="s">
        <v>215</v>
      </c>
      <c r="E273" s="89" t="s">
        <v>216</v>
      </c>
      <c r="F273" s="150"/>
      <c r="G273" s="150"/>
    </row>
    <row r="274" spans="1:7" ht="17.25" customHeight="1">
      <c r="A274" s="325" t="s">
        <v>223</v>
      </c>
      <c r="B274" s="326"/>
      <c r="C274" s="327"/>
      <c r="D274" s="41"/>
      <c r="E274" s="40"/>
      <c r="F274" s="150"/>
      <c r="G274" s="150"/>
    </row>
    <row r="275" spans="1:7" ht="30.75" customHeight="1">
      <c r="A275" s="303">
        <v>1401</v>
      </c>
      <c r="B275" s="225">
        <v>25</v>
      </c>
      <c r="C275" s="225" t="s">
        <v>224</v>
      </c>
      <c r="D275" s="224" t="s">
        <v>445</v>
      </c>
      <c r="E275" s="224">
        <v>1516</v>
      </c>
      <c r="F275" s="150"/>
      <c r="G275" s="150"/>
    </row>
    <row r="276" spans="1:7" ht="17.25" customHeight="1">
      <c r="A276" s="41"/>
      <c r="B276" s="222">
        <f>SUM(B275:B275)</f>
        <v>25</v>
      </c>
      <c r="C276" s="222"/>
      <c r="D276" s="222"/>
      <c r="E276" s="222">
        <f>SUM(E275:E275)</f>
        <v>1516</v>
      </c>
      <c r="F276" s="150"/>
      <c r="G276" s="150"/>
    </row>
    <row r="277" spans="1:7" ht="17.25" customHeight="1">
      <c r="A277" s="325" t="s">
        <v>217</v>
      </c>
      <c r="B277" s="326"/>
      <c r="C277" s="327"/>
      <c r="D277" s="41"/>
      <c r="E277" s="40"/>
      <c r="F277" s="150"/>
      <c r="G277" s="150"/>
    </row>
    <row r="278" spans="1:7" ht="17.25" customHeight="1">
      <c r="A278" s="303">
        <v>1402</v>
      </c>
      <c r="B278" s="225">
        <v>25</v>
      </c>
      <c r="C278" s="225" t="s">
        <v>224</v>
      </c>
      <c r="D278" s="224" t="s">
        <v>446</v>
      </c>
      <c r="E278" s="224">
        <v>1525</v>
      </c>
      <c r="F278" s="150"/>
      <c r="G278" s="150"/>
    </row>
    <row r="279" spans="1:7" ht="17.25" customHeight="1">
      <c r="A279" s="303">
        <v>1403</v>
      </c>
      <c r="B279" s="225">
        <v>25</v>
      </c>
      <c r="C279" s="225" t="s">
        <v>224</v>
      </c>
      <c r="D279" s="225" t="s">
        <v>447</v>
      </c>
      <c r="E279" s="224">
        <v>1525</v>
      </c>
      <c r="F279" s="150"/>
      <c r="G279" s="150"/>
    </row>
    <row r="280" spans="1:7" ht="17.25" customHeight="1">
      <c r="A280" s="303">
        <v>1404</v>
      </c>
      <c r="B280" s="225">
        <v>25</v>
      </c>
      <c r="C280" s="225" t="s">
        <v>224</v>
      </c>
      <c r="D280" s="225" t="s">
        <v>448</v>
      </c>
      <c r="E280" s="185">
        <v>1525</v>
      </c>
      <c r="F280" s="150"/>
      <c r="G280" s="150"/>
    </row>
    <row r="281" spans="1:7" ht="17.25" customHeight="1">
      <c r="A281" s="303">
        <v>1405</v>
      </c>
      <c r="B281" s="225">
        <v>25</v>
      </c>
      <c r="C281" s="225" t="s">
        <v>224</v>
      </c>
      <c r="D281" s="225" t="s">
        <v>449</v>
      </c>
      <c r="E281" s="185">
        <v>1525</v>
      </c>
      <c r="F281" s="150"/>
      <c r="G281" s="150"/>
    </row>
    <row r="282" spans="1:7" ht="17.25" customHeight="1">
      <c r="A282" s="292">
        <v>1406</v>
      </c>
      <c r="B282" s="226">
        <v>24</v>
      </c>
      <c r="C282" s="229" t="s">
        <v>451</v>
      </c>
      <c r="D282" s="185" t="s">
        <v>452</v>
      </c>
      <c r="E282" s="185">
        <v>2776</v>
      </c>
      <c r="F282" s="150"/>
      <c r="G282" s="150"/>
    </row>
    <row r="283" spans="1:7" ht="17.25" customHeight="1">
      <c r="A283" s="41"/>
      <c r="B283" s="222">
        <f>SUM(B278:B282)</f>
        <v>124</v>
      </c>
      <c r="C283" s="222"/>
      <c r="D283" s="222"/>
      <c r="E283" s="222">
        <f>SUM(E278:E282)</f>
        <v>8876</v>
      </c>
      <c r="F283" s="150"/>
      <c r="G283" s="150"/>
    </row>
    <row r="284" spans="1:7" ht="17.25" customHeight="1">
      <c r="A284" s="222" t="s">
        <v>14</v>
      </c>
      <c r="B284" s="144">
        <f>B276+B283</f>
        <v>149</v>
      </c>
      <c r="C284" s="144"/>
      <c r="D284" s="144"/>
      <c r="E284" s="144">
        <f>E276+E283</f>
        <v>10392</v>
      </c>
      <c r="F284" s="150"/>
      <c r="G284" s="150"/>
    </row>
    <row r="285" spans="1:7" ht="17.25" customHeight="1">
      <c r="A285" s="223"/>
      <c r="B285" s="145"/>
      <c r="C285" s="146"/>
      <c r="D285" s="144"/>
      <c r="E285" s="144"/>
      <c r="F285" s="150"/>
      <c r="G285" s="150"/>
    </row>
    <row r="286" spans="1:7" ht="26.25" customHeight="1">
      <c r="A286" s="322" t="s">
        <v>459</v>
      </c>
      <c r="B286" s="331"/>
      <c r="C286" s="331"/>
      <c r="D286" s="331"/>
      <c r="E286" s="331"/>
      <c r="F286" s="150"/>
      <c r="G286" s="150"/>
    </row>
    <row r="287" spans="1:7" ht="23.25" customHeight="1">
      <c r="A287" s="24" t="s">
        <v>212</v>
      </c>
      <c r="B287" s="24" t="s">
        <v>213</v>
      </c>
      <c r="C287" s="24" t="s">
        <v>214</v>
      </c>
      <c r="D287" s="24" t="s">
        <v>215</v>
      </c>
      <c r="E287" s="89" t="s">
        <v>216</v>
      </c>
      <c r="F287" s="150"/>
      <c r="G287" s="150"/>
    </row>
    <row r="288" spans="1:7" ht="17.25" customHeight="1">
      <c r="A288" s="325" t="s">
        <v>223</v>
      </c>
      <c r="B288" s="326"/>
      <c r="C288" s="327"/>
      <c r="D288" s="41"/>
      <c r="E288" s="40"/>
      <c r="F288" s="150"/>
      <c r="G288" s="150"/>
    </row>
    <row r="289" spans="1:7" ht="17.25" customHeight="1">
      <c r="A289" s="303">
        <v>765</v>
      </c>
      <c r="B289" s="292">
        <v>1</v>
      </c>
      <c r="C289" s="292" t="s">
        <v>224</v>
      </c>
      <c r="D289" s="230" t="s">
        <v>455</v>
      </c>
      <c r="E289" s="230">
        <v>48</v>
      </c>
      <c r="F289" s="150"/>
      <c r="G289" s="150"/>
    </row>
    <row r="290" spans="1:7" ht="17.25" customHeight="1">
      <c r="A290" s="292">
        <v>766</v>
      </c>
      <c r="B290" s="292">
        <v>6</v>
      </c>
      <c r="C290" s="292" t="s">
        <v>225</v>
      </c>
      <c r="D290" s="230" t="s">
        <v>456</v>
      </c>
      <c r="E290" s="230">
        <v>446</v>
      </c>
      <c r="F290" s="150"/>
      <c r="G290" s="150"/>
    </row>
    <row r="291" spans="1:7" ht="28.5" customHeight="1">
      <c r="A291" s="292">
        <v>767</v>
      </c>
      <c r="B291" s="292">
        <v>20</v>
      </c>
      <c r="C291" s="292" t="s">
        <v>228</v>
      </c>
      <c r="D291" s="230" t="s">
        <v>458</v>
      </c>
      <c r="E291" s="230">
        <v>2160</v>
      </c>
      <c r="F291" s="150"/>
      <c r="G291" s="150"/>
    </row>
    <row r="292" spans="1:7" ht="17.25" customHeight="1">
      <c r="A292" s="41"/>
      <c r="B292" s="290">
        <f>SUM(B289:B291)</f>
        <v>27</v>
      </c>
      <c r="C292" s="290"/>
      <c r="D292" s="222"/>
      <c r="E292" s="222">
        <f>SUM(E289:E291)</f>
        <v>2654</v>
      </c>
      <c r="F292" s="150"/>
      <c r="G292" s="150"/>
    </row>
    <row r="293" spans="1:7" ht="17.25" customHeight="1">
      <c r="A293" s="325" t="s">
        <v>217</v>
      </c>
      <c r="B293" s="326"/>
      <c r="C293" s="327"/>
      <c r="D293" s="41"/>
      <c r="E293" s="40"/>
      <c r="F293" s="150"/>
      <c r="G293" s="150"/>
    </row>
    <row r="294" spans="1:7" ht="17.25" customHeight="1">
      <c r="A294" s="35">
        <v>768</v>
      </c>
      <c r="B294" s="35">
        <v>8</v>
      </c>
      <c r="C294" s="35" t="s">
        <v>218</v>
      </c>
      <c r="D294" s="234" t="s">
        <v>293</v>
      </c>
      <c r="E294" s="234">
        <v>583</v>
      </c>
      <c r="F294" s="150"/>
      <c r="G294" s="150"/>
    </row>
    <row r="295" spans="1:7" ht="17.25" customHeight="1">
      <c r="A295" s="35">
        <v>769</v>
      </c>
      <c r="B295" s="35">
        <v>4</v>
      </c>
      <c r="C295" s="35" t="s">
        <v>238</v>
      </c>
      <c r="D295" s="234" t="s">
        <v>457</v>
      </c>
      <c r="E295" s="234">
        <v>290</v>
      </c>
      <c r="F295" s="150"/>
      <c r="G295" s="150"/>
    </row>
    <row r="296" spans="1:7" ht="17.25" customHeight="1">
      <c r="A296" s="41"/>
      <c r="B296" s="222">
        <f>SUM(B294:B295)</f>
        <v>12</v>
      </c>
      <c r="C296" s="222"/>
      <c r="D296" s="222"/>
      <c r="E296" s="222">
        <f>SUM(E294:E295)</f>
        <v>873</v>
      </c>
      <c r="F296" s="150"/>
      <c r="G296" s="150"/>
    </row>
    <row r="297" spans="1:7" ht="17.25" customHeight="1">
      <c r="A297" s="222" t="s">
        <v>14</v>
      </c>
      <c r="B297" s="144">
        <f>B292+B296</f>
        <v>39</v>
      </c>
      <c r="C297" s="144"/>
      <c r="D297" s="144"/>
      <c r="E297" s="144">
        <f>E292+E296</f>
        <v>3527</v>
      </c>
      <c r="F297" s="150"/>
      <c r="G297" s="150"/>
    </row>
    <row r="298" spans="1:7" ht="17.25" customHeight="1">
      <c r="A298" s="223"/>
      <c r="B298" s="145"/>
      <c r="C298" s="146"/>
      <c r="D298" s="144"/>
      <c r="E298" s="144"/>
      <c r="F298" s="150"/>
      <c r="G298" s="150"/>
    </row>
    <row r="299" spans="1:7" ht="34.5" customHeight="1">
      <c r="A299" s="322" t="s">
        <v>463</v>
      </c>
      <c r="B299" s="331"/>
      <c r="C299" s="331"/>
      <c r="D299" s="331"/>
      <c r="E299" s="331"/>
      <c r="F299" s="150"/>
      <c r="G299" s="150"/>
    </row>
    <row r="300" spans="1:7" ht="26.25" customHeight="1">
      <c r="A300" s="24" t="s">
        <v>212</v>
      </c>
      <c r="B300" s="24" t="s">
        <v>213</v>
      </c>
      <c r="C300" s="24" t="s">
        <v>214</v>
      </c>
      <c r="D300" s="24" t="s">
        <v>215</v>
      </c>
      <c r="E300" s="89" t="s">
        <v>216</v>
      </c>
      <c r="F300" s="150"/>
      <c r="G300" s="150"/>
    </row>
    <row r="301" spans="1:7" ht="17.25" customHeight="1">
      <c r="A301" s="325" t="s">
        <v>223</v>
      </c>
      <c r="B301" s="326"/>
      <c r="C301" s="327"/>
      <c r="D301" s="41"/>
      <c r="E301" s="40"/>
      <c r="F301" s="150"/>
      <c r="G301" s="150"/>
    </row>
    <row r="302" spans="1:7" ht="18" customHeight="1">
      <c r="A302" s="126">
        <v>1012</v>
      </c>
      <c r="B302" s="238">
        <v>1</v>
      </c>
      <c r="C302" s="238" t="s">
        <v>237</v>
      </c>
      <c r="D302" s="238" t="s">
        <v>263</v>
      </c>
      <c r="E302" s="233">
        <v>56</v>
      </c>
      <c r="F302" s="150"/>
      <c r="G302" s="150"/>
    </row>
    <row r="303" spans="1:7" ht="17.25" customHeight="1">
      <c r="A303" s="305">
        <v>1013</v>
      </c>
      <c r="B303" s="239">
        <v>1</v>
      </c>
      <c r="C303" s="239" t="s">
        <v>218</v>
      </c>
      <c r="D303" s="126" t="s">
        <v>460</v>
      </c>
      <c r="E303" s="239">
        <v>72</v>
      </c>
      <c r="F303" s="150"/>
      <c r="G303" s="150"/>
    </row>
    <row r="304" spans="1:7" ht="17.25" customHeight="1">
      <c r="A304" s="305">
        <v>1014</v>
      </c>
      <c r="B304" s="239">
        <v>5</v>
      </c>
      <c r="C304" s="239" t="s">
        <v>238</v>
      </c>
      <c r="D304" s="126" t="s">
        <v>461</v>
      </c>
      <c r="E304" s="239">
        <v>528</v>
      </c>
      <c r="F304" s="150"/>
      <c r="G304" s="150"/>
    </row>
    <row r="305" spans="1:7" ht="17.25" customHeight="1">
      <c r="A305" s="41"/>
      <c r="B305" s="222">
        <f>SUM(B302:B304)</f>
        <v>7</v>
      </c>
      <c r="C305" s="222"/>
      <c r="D305" s="222"/>
      <c r="E305" s="222">
        <f>SUM(E302:E304)</f>
        <v>656</v>
      </c>
      <c r="F305" s="150"/>
      <c r="G305" s="150"/>
    </row>
    <row r="306" spans="1:7" ht="17.25" customHeight="1">
      <c r="A306" s="325" t="s">
        <v>217</v>
      </c>
      <c r="B306" s="326"/>
      <c r="C306" s="327"/>
      <c r="D306" s="41"/>
      <c r="E306" s="40"/>
      <c r="F306" s="150"/>
      <c r="G306" s="150"/>
    </row>
    <row r="307" spans="1:7" ht="17.25" customHeight="1">
      <c r="A307" s="292">
        <v>1020</v>
      </c>
      <c r="B307" s="226">
        <v>10</v>
      </c>
      <c r="C307" s="228" t="s">
        <v>464</v>
      </c>
      <c r="D307" s="226" t="s">
        <v>465</v>
      </c>
      <c r="E307" s="226">
        <v>1765</v>
      </c>
      <c r="F307" s="150"/>
      <c r="G307" s="150"/>
    </row>
    <row r="308" spans="1:7" ht="17.25" customHeight="1">
      <c r="A308" s="303">
        <v>1016</v>
      </c>
      <c r="B308" s="225">
        <v>2</v>
      </c>
      <c r="C308" s="224" t="s">
        <v>237</v>
      </c>
      <c r="D308" s="230" t="s">
        <v>308</v>
      </c>
      <c r="E308" s="240">
        <v>84</v>
      </c>
      <c r="F308" s="150"/>
      <c r="G308" s="150"/>
    </row>
    <row r="309" spans="1:7" ht="17.25" customHeight="1">
      <c r="A309" s="303">
        <v>1017</v>
      </c>
      <c r="B309" s="225">
        <v>19</v>
      </c>
      <c r="C309" s="224" t="s">
        <v>218</v>
      </c>
      <c r="D309" s="230" t="s">
        <v>462</v>
      </c>
      <c r="E309" s="240">
        <v>1705</v>
      </c>
      <c r="F309" s="150"/>
      <c r="G309" s="150"/>
    </row>
    <row r="310" spans="1:7" ht="17.25" customHeight="1">
      <c r="A310" s="303">
        <v>1018</v>
      </c>
      <c r="B310" s="225">
        <v>3</v>
      </c>
      <c r="C310" s="224" t="s">
        <v>218</v>
      </c>
      <c r="D310" s="230" t="s">
        <v>241</v>
      </c>
      <c r="E310" s="240">
        <v>254</v>
      </c>
      <c r="F310" s="150"/>
      <c r="G310" s="150"/>
    </row>
    <row r="311" spans="1:7" ht="17.25" customHeight="1">
      <c r="A311" s="303">
        <v>1019</v>
      </c>
      <c r="B311" s="225">
        <v>1</v>
      </c>
      <c r="C311" s="224" t="s">
        <v>238</v>
      </c>
      <c r="D311" s="230" t="s">
        <v>240</v>
      </c>
      <c r="E311" s="240">
        <v>100</v>
      </c>
      <c r="F311" s="150"/>
      <c r="G311" s="150"/>
    </row>
    <row r="312" spans="1:7" ht="17.25" customHeight="1">
      <c r="A312" s="41"/>
      <c r="B312" s="222">
        <f>SUM(B307:B311)</f>
        <v>35</v>
      </c>
      <c r="C312" s="222"/>
      <c r="D312" s="222"/>
      <c r="E312" s="222">
        <f>SUM(E307:E311)</f>
        <v>3908</v>
      </c>
      <c r="F312" s="150"/>
      <c r="G312" s="150"/>
    </row>
    <row r="313" spans="1:7" ht="17.25" customHeight="1">
      <c r="A313" s="325" t="s">
        <v>230</v>
      </c>
      <c r="B313" s="326"/>
      <c r="C313" s="327"/>
      <c r="D313" s="234"/>
      <c r="E313" s="222"/>
      <c r="F313" s="150"/>
      <c r="G313" s="150"/>
    </row>
    <row r="314" spans="1:7" ht="17.25" customHeight="1">
      <c r="A314" s="303">
        <v>1015</v>
      </c>
      <c r="B314" s="225">
        <v>1</v>
      </c>
      <c r="C314" s="224" t="s">
        <v>218</v>
      </c>
      <c r="D314" s="230" t="s">
        <v>240</v>
      </c>
      <c r="E314" s="240">
        <v>45</v>
      </c>
      <c r="F314" s="150"/>
      <c r="G314" s="150"/>
    </row>
    <row r="315" spans="1:7" ht="17.25" customHeight="1">
      <c r="A315" s="41"/>
      <c r="B315" s="222">
        <f>B314</f>
        <v>1</v>
      </c>
      <c r="C315" s="222"/>
      <c r="D315" s="222"/>
      <c r="E315" s="222">
        <f>E314</f>
        <v>45</v>
      </c>
      <c r="F315" s="150"/>
      <c r="G315" s="150"/>
    </row>
    <row r="316" spans="1:7" ht="17.25" customHeight="1">
      <c r="A316" s="222" t="s">
        <v>14</v>
      </c>
      <c r="B316" s="144">
        <f>B305+B312+B315</f>
        <v>43</v>
      </c>
      <c r="C316" s="144"/>
      <c r="D316" s="144"/>
      <c r="E316" s="144">
        <f>E305+E312+E315</f>
        <v>4609</v>
      </c>
      <c r="F316" s="150"/>
      <c r="G316" s="150"/>
    </row>
    <row r="317" spans="1:7" ht="17.25" customHeight="1">
      <c r="A317" s="243"/>
      <c r="B317" s="145"/>
      <c r="C317" s="146"/>
      <c r="D317" s="144"/>
      <c r="E317" s="144"/>
      <c r="F317" s="150"/>
      <c r="G317" s="150"/>
    </row>
    <row r="318" spans="1:7" ht="26.25" customHeight="1">
      <c r="A318" s="322" t="s">
        <v>479</v>
      </c>
      <c r="B318" s="331"/>
      <c r="C318" s="331"/>
      <c r="D318" s="331"/>
      <c r="E318" s="331"/>
      <c r="F318" s="150"/>
      <c r="G318" s="150"/>
    </row>
    <row r="319" spans="1:7" ht="29.25" customHeight="1">
      <c r="A319" s="24" t="s">
        <v>212</v>
      </c>
      <c r="B319" s="24" t="s">
        <v>213</v>
      </c>
      <c r="C319" s="24" t="s">
        <v>214</v>
      </c>
      <c r="D319" s="24" t="s">
        <v>215</v>
      </c>
      <c r="E319" s="89" t="s">
        <v>216</v>
      </c>
      <c r="F319" s="150"/>
      <c r="G319" s="150"/>
    </row>
    <row r="320" spans="1:7" ht="19.5" customHeight="1">
      <c r="A320" s="325" t="s">
        <v>223</v>
      </c>
      <c r="B320" s="326"/>
      <c r="C320" s="327"/>
      <c r="D320" s="41"/>
      <c r="E320" s="40"/>
      <c r="F320" s="150"/>
      <c r="G320" s="150"/>
    </row>
    <row r="321" spans="1:7" ht="30">
      <c r="A321" s="292">
        <v>1021</v>
      </c>
      <c r="B321" s="254">
        <v>11</v>
      </c>
      <c r="C321" s="255" t="s">
        <v>238</v>
      </c>
      <c r="D321" s="245" t="s">
        <v>480</v>
      </c>
      <c r="E321" s="255">
        <v>1147</v>
      </c>
      <c r="F321" s="150"/>
      <c r="G321" s="150"/>
    </row>
    <row r="322" spans="1:7" ht="17.25" customHeight="1">
      <c r="A322" s="41"/>
      <c r="B322" s="242">
        <f>SUM(B321:B321)</f>
        <v>11</v>
      </c>
      <c r="C322" s="242"/>
      <c r="D322" s="242"/>
      <c r="E322" s="242">
        <f>SUM(E321:E321)</f>
        <v>1147</v>
      </c>
      <c r="F322" s="150"/>
      <c r="G322" s="150"/>
    </row>
    <row r="323" spans="1:7" ht="17.25" customHeight="1">
      <c r="A323" s="325" t="s">
        <v>217</v>
      </c>
      <c r="B323" s="326"/>
      <c r="C323" s="327"/>
      <c r="D323" s="41"/>
      <c r="E323" s="40"/>
      <c r="F323" s="150"/>
      <c r="G323" s="150"/>
    </row>
    <row r="324" spans="1:7" ht="21" customHeight="1">
      <c r="A324" s="303">
        <v>1022</v>
      </c>
      <c r="B324" s="225">
        <v>25</v>
      </c>
      <c r="C324" s="227" t="s">
        <v>485</v>
      </c>
      <c r="D324" s="230" t="s">
        <v>481</v>
      </c>
      <c r="E324" s="240">
        <v>2568</v>
      </c>
      <c r="F324" s="150"/>
      <c r="G324" s="150"/>
    </row>
    <row r="325" spans="1:7" ht="28.5" customHeight="1">
      <c r="A325" s="303">
        <v>1023</v>
      </c>
      <c r="B325" s="225">
        <v>25</v>
      </c>
      <c r="C325" s="227" t="s">
        <v>233</v>
      </c>
      <c r="D325" s="230" t="s">
        <v>482</v>
      </c>
      <c r="E325" s="240">
        <v>2601</v>
      </c>
      <c r="F325" s="150"/>
      <c r="G325" s="150"/>
    </row>
    <row r="326" spans="1:7" ht="21" customHeight="1">
      <c r="A326" s="303">
        <v>1024</v>
      </c>
      <c r="B326" s="225">
        <v>20</v>
      </c>
      <c r="C326" s="227" t="s">
        <v>486</v>
      </c>
      <c r="D326" s="230" t="s">
        <v>483</v>
      </c>
      <c r="E326" s="240">
        <v>3542</v>
      </c>
      <c r="F326" s="150"/>
      <c r="G326" s="150"/>
    </row>
    <row r="327" spans="1:7" ht="21" customHeight="1">
      <c r="A327" s="292">
        <v>1025</v>
      </c>
      <c r="B327" s="226">
        <v>30</v>
      </c>
      <c r="C327" s="228" t="s">
        <v>487</v>
      </c>
      <c r="D327" s="230" t="s">
        <v>484</v>
      </c>
      <c r="E327" s="230">
        <v>7261</v>
      </c>
      <c r="F327" s="150"/>
      <c r="G327" s="150"/>
    </row>
    <row r="328" spans="1:7" ht="22.5" customHeight="1">
      <c r="A328" s="303">
        <v>1027</v>
      </c>
      <c r="B328" s="225">
        <v>1</v>
      </c>
      <c r="C328" s="224" t="s">
        <v>237</v>
      </c>
      <c r="D328" s="230" t="s">
        <v>240</v>
      </c>
      <c r="E328" s="240">
        <v>36</v>
      </c>
      <c r="F328" s="150"/>
      <c r="G328" s="150"/>
    </row>
    <row r="329" spans="1:7" ht="22.5" customHeight="1">
      <c r="A329" s="303">
        <v>1028</v>
      </c>
      <c r="B329" s="225">
        <v>22</v>
      </c>
      <c r="C329" s="224" t="s">
        <v>218</v>
      </c>
      <c r="D329" s="230" t="s">
        <v>488</v>
      </c>
      <c r="E329" s="240">
        <v>1976</v>
      </c>
      <c r="F329" s="150"/>
      <c r="G329" s="150"/>
    </row>
    <row r="330" spans="1:7" ht="22.5" customHeight="1">
      <c r="A330" s="303">
        <v>1029</v>
      </c>
      <c r="B330" s="225">
        <v>11</v>
      </c>
      <c r="C330" s="224" t="s">
        <v>218</v>
      </c>
      <c r="D330" s="230" t="s">
        <v>489</v>
      </c>
      <c r="E330" s="240">
        <v>926</v>
      </c>
      <c r="F330" s="150"/>
      <c r="G330" s="150"/>
    </row>
    <row r="331" spans="1:7" ht="22.5" customHeight="1">
      <c r="A331" s="303">
        <v>1030</v>
      </c>
      <c r="B331" s="225">
        <v>3</v>
      </c>
      <c r="C331" s="224" t="s">
        <v>238</v>
      </c>
      <c r="D331" s="230" t="s">
        <v>241</v>
      </c>
      <c r="E331" s="240">
        <v>300</v>
      </c>
      <c r="F331" s="150"/>
      <c r="G331" s="150"/>
    </row>
    <row r="332" spans="1:7" ht="17.25" customHeight="1">
      <c r="A332" s="41"/>
      <c r="B332" s="242">
        <f>SUM(B324:B331)</f>
        <v>137</v>
      </c>
      <c r="C332" s="242"/>
      <c r="D332" s="242"/>
      <c r="E332" s="242">
        <f>SUM(E324:E331)</f>
        <v>19210</v>
      </c>
      <c r="F332" s="150"/>
      <c r="G332" s="150"/>
    </row>
    <row r="333" spans="1:7" ht="17.25" customHeight="1">
      <c r="A333" s="325" t="s">
        <v>230</v>
      </c>
      <c r="B333" s="326"/>
      <c r="C333" s="327"/>
      <c r="D333" s="242"/>
      <c r="E333" s="242"/>
      <c r="F333" s="150"/>
      <c r="G333" s="150"/>
    </row>
    <row r="334" spans="1:7" ht="26.25" customHeight="1">
      <c r="A334" s="252">
        <v>1026</v>
      </c>
      <c r="B334" s="251">
        <v>1</v>
      </c>
      <c r="C334" s="252" t="s">
        <v>218</v>
      </c>
      <c r="D334" s="230" t="s">
        <v>240</v>
      </c>
      <c r="E334" s="253">
        <v>45</v>
      </c>
      <c r="F334" s="150"/>
      <c r="G334" s="150"/>
    </row>
    <row r="335" spans="1:7" ht="17.25" customHeight="1">
      <c r="A335" s="41"/>
      <c r="B335" s="242">
        <f>B334</f>
        <v>1</v>
      </c>
      <c r="C335" s="242"/>
      <c r="D335" s="242"/>
      <c r="E335" s="242">
        <f>E334</f>
        <v>45</v>
      </c>
      <c r="F335" s="150"/>
      <c r="G335" s="150"/>
    </row>
    <row r="336" spans="1:7" ht="17.25" customHeight="1">
      <c r="A336" s="242" t="s">
        <v>14</v>
      </c>
      <c r="B336" s="144">
        <f>B322+B332+B335</f>
        <v>149</v>
      </c>
      <c r="C336" s="144"/>
      <c r="D336" s="144"/>
      <c r="E336" s="144">
        <f>E322+E332+E335</f>
        <v>20402</v>
      </c>
      <c r="F336" s="150"/>
      <c r="G336" s="150"/>
    </row>
    <row r="337" spans="1:7" ht="17.25" customHeight="1">
      <c r="A337" s="243"/>
      <c r="B337" s="145"/>
      <c r="C337" s="146"/>
      <c r="D337" s="144"/>
      <c r="E337" s="144"/>
      <c r="F337" s="150"/>
      <c r="G337" s="150"/>
    </row>
    <row r="338" spans="1:7" ht="28.5" customHeight="1">
      <c r="A338" s="322" t="s">
        <v>490</v>
      </c>
      <c r="B338" s="331"/>
      <c r="C338" s="331"/>
      <c r="D338" s="331"/>
      <c r="E338" s="331"/>
      <c r="F338" s="150"/>
      <c r="G338" s="150"/>
    </row>
    <row r="339" spans="1:7" ht="24" customHeight="1">
      <c r="A339" s="24" t="s">
        <v>212</v>
      </c>
      <c r="B339" s="24" t="s">
        <v>213</v>
      </c>
      <c r="C339" s="24" t="s">
        <v>214</v>
      </c>
      <c r="D339" s="24" t="s">
        <v>215</v>
      </c>
      <c r="E339" s="89" t="s">
        <v>216</v>
      </c>
      <c r="F339" s="150"/>
      <c r="G339" s="150"/>
    </row>
    <row r="340" spans="1:7" ht="17.25" customHeight="1">
      <c r="A340" s="325" t="s">
        <v>223</v>
      </c>
      <c r="B340" s="326"/>
      <c r="C340" s="327"/>
      <c r="D340" s="41"/>
      <c r="E340" s="40"/>
      <c r="F340" s="150"/>
      <c r="G340" s="150"/>
    </row>
    <row r="341" spans="1:7" ht="30.75" customHeight="1">
      <c r="A341" s="303">
        <v>205</v>
      </c>
      <c r="B341" s="225">
        <v>17</v>
      </c>
      <c r="C341" s="225" t="s">
        <v>224</v>
      </c>
      <c r="D341" s="224" t="s">
        <v>491</v>
      </c>
      <c r="E341" s="240">
        <v>1056</v>
      </c>
      <c r="F341" s="150"/>
      <c r="G341" s="150"/>
    </row>
    <row r="342" spans="1:7" ht="17.25" customHeight="1">
      <c r="A342" s="292">
        <v>206</v>
      </c>
      <c r="B342" s="230">
        <v>8</v>
      </c>
      <c r="C342" s="230" t="s">
        <v>225</v>
      </c>
      <c r="D342" s="230" t="s">
        <v>492</v>
      </c>
      <c r="E342" s="230">
        <v>643</v>
      </c>
      <c r="F342" s="150"/>
      <c r="G342" s="150"/>
    </row>
    <row r="343" spans="1:7" ht="17.25" customHeight="1">
      <c r="A343" s="41"/>
      <c r="B343" s="242">
        <f>SUM(B341:B342)</f>
        <v>25</v>
      </c>
      <c r="C343" s="256"/>
      <c r="D343" s="256"/>
      <c r="E343" s="256">
        <f>SUM(E341:E342)</f>
        <v>1699</v>
      </c>
      <c r="F343" s="150"/>
      <c r="G343" s="150"/>
    </row>
    <row r="344" spans="1:7" ht="17.25" customHeight="1">
      <c r="A344" s="325" t="s">
        <v>217</v>
      </c>
      <c r="B344" s="326"/>
      <c r="C344" s="327"/>
      <c r="D344" s="41"/>
      <c r="E344" s="40"/>
      <c r="F344" s="150"/>
      <c r="G344" s="150"/>
    </row>
    <row r="345" spans="1:7" ht="17.25" customHeight="1">
      <c r="A345" s="292">
        <v>207</v>
      </c>
      <c r="B345" s="226">
        <v>15</v>
      </c>
      <c r="C345" s="245" t="s">
        <v>224</v>
      </c>
      <c r="D345" s="226" t="s">
        <v>493</v>
      </c>
      <c r="E345" s="245">
        <v>772</v>
      </c>
      <c r="F345" s="150"/>
      <c r="G345" s="150"/>
    </row>
    <row r="346" spans="1:7" ht="17.25" customHeight="1">
      <c r="A346" s="292">
        <v>208</v>
      </c>
      <c r="B346" s="245">
        <v>2</v>
      </c>
      <c r="C346" s="245" t="s">
        <v>225</v>
      </c>
      <c r="D346" s="245" t="s">
        <v>494</v>
      </c>
      <c r="E346" s="245">
        <v>143</v>
      </c>
      <c r="F346" s="150"/>
      <c r="G346" s="150"/>
    </row>
    <row r="347" spans="1:7" ht="17.25" customHeight="1">
      <c r="A347" s="292">
        <v>211</v>
      </c>
      <c r="B347" s="245">
        <v>2</v>
      </c>
      <c r="C347" s="228" t="s">
        <v>233</v>
      </c>
      <c r="D347" s="245" t="s">
        <v>495</v>
      </c>
      <c r="E347" s="245">
        <v>248</v>
      </c>
      <c r="F347" s="150"/>
      <c r="G347" s="150"/>
    </row>
    <row r="348" spans="1:7" ht="17.25" customHeight="1">
      <c r="A348" s="292">
        <v>212</v>
      </c>
      <c r="B348" s="245">
        <v>4</v>
      </c>
      <c r="C348" s="228" t="s">
        <v>242</v>
      </c>
      <c r="D348" s="245" t="s">
        <v>496</v>
      </c>
      <c r="E348" s="245">
        <v>800</v>
      </c>
      <c r="F348" s="150"/>
      <c r="G348" s="150"/>
    </row>
    <row r="349" spans="1:7" ht="17.25" customHeight="1">
      <c r="A349" s="292">
        <v>214</v>
      </c>
      <c r="B349" s="245">
        <v>2</v>
      </c>
      <c r="C349" s="228" t="s">
        <v>246</v>
      </c>
      <c r="D349" s="245" t="s">
        <v>497</v>
      </c>
      <c r="E349" s="245">
        <v>585</v>
      </c>
      <c r="F349" s="150"/>
      <c r="G349" s="150"/>
    </row>
    <row r="350" spans="1:7" ht="17.25" customHeight="1">
      <c r="A350" s="292">
        <v>215</v>
      </c>
      <c r="B350" s="245">
        <v>3</v>
      </c>
      <c r="C350" s="245" t="s">
        <v>224</v>
      </c>
      <c r="D350" s="245" t="s">
        <v>503</v>
      </c>
      <c r="E350" s="245">
        <v>162</v>
      </c>
      <c r="F350" s="150"/>
      <c r="G350" s="150"/>
    </row>
    <row r="351" spans="1:7" ht="17.25" customHeight="1">
      <c r="A351" s="292">
        <v>216</v>
      </c>
      <c r="B351" s="245">
        <v>3</v>
      </c>
      <c r="C351" s="245" t="s">
        <v>225</v>
      </c>
      <c r="D351" s="245" t="s">
        <v>504</v>
      </c>
      <c r="E351" s="245">
        <v>200</v>
      </c>
      <c r="F351" s="150"/>
      <c r="G351" s="150"/>
    </row>
    <row r="352" spans="1:7" ht="32.25" customHeight="1">
      <c r="A352" s="292">
        <v>213</v>
      </c>
      <c r="B352" s="245">
        <v>3</v>
      </c>
      <c r="C352" s="228" t="s">
        <v>498</v>
      </c>
      <c r="D352" s="245" t="s">
        <v>499</v>
      </c>
      <c r="E352" s="245">
        <v>580</v>
      </c>
      <c r="F352" s="150"/>
      <c r="G352" s="150"/>
    </row>
    <row r="353" spans="1:7" ht="17.25" customHeight="1">
      <c r="A353" s="41"/>
      <c r="B353" s="242">
        <f>SUM(B345:B352)</f>
        <v>34</v>
      </c>
      <c r="C353" s="256"/>
      <c r="D353" s="256"/>
      <c r="E353" s="256">
        <f>SUM(E345:E352)</f>
        <v>3490</v>
      </c>
      <c r="F353" s="150"/>
      <c r="G353" s="150"/>
    </row>
    <row r="354" spans="1:7" ht="17.25" customHeight="1">
      <c r="A354" s="325" t="s">
        <v>229</v>
      </c>
      <c r="B354" s="326"/>
      <c r="C354" s="327"/>
      <c r="D354" s="242"/>
      <c r="E354" s="242"/>
      <c r="F354" s="150"/>
      <c r="G354" s="150"/>
    </row>
    <row r="355" spans="1:7" ht="17.25" customHeight="1">
      <c r="A355" s="292">
        <v>209</v>
      </c>
      <c r="B355" s="226">
        <v>5</v>
      </c>
      <c r="C355" s="226" t="s">
        <v>225</v>
      </c>
      <c r="D355" s="226" t="s">
        <v>501</v>
      </c>
      <c r="E355" s="292">
        <v>281</v>
      </c>
      <c r="F355" s="150"/>
      <c r="G355" s="150"/>
    </row>
    <row r="356" spans="1:7" ht="17.25" customHeight="1">
      <c r="A356" s="41"/>
      <c r="B356" s="290">
        <f>B355</f>
        <v>5</v>
      </c>
      <c r="C356" s="290"/>
      <c r="D356" s="290"/>
      <c r="E356" s="290">
        <f>E355</f>
        <v>281</v>
      </c>
      <c r="F356" s="150"/>
      <c r="G356" s="150"/>
    </row>
    <row r="357" spans="1:7" ht="17.25" customHeight="1">
      <c r="A357" s="325" t="s">
        <v>230</v>
      </c>
      <c r="B357" s="326"/>
      <c r="C357" s="327"/>
      <c r="D357" s="290"/>
      <c r="E357" s="290"/>
      <c r="F357" s="150"/>
      <c r="G357" s="150"/>
    </row>
    <row r="358" spans="1:7" ht="17.25" customHeight="1">
      <c r="A358" s="292">
        <v>210</v>
      </c>
      <c r="B358" s="292">
        <v>1</v>
      </c>
      <c r="C358" s="292" t="s">
        <v>225</v>
      </c>
      <c r="D358" s="292" t="s">
        <v>500</v>
      </c>
      <c r="E358" s="292">
        <v>56</v>
      </c>
      <c r="F358" s="150"/>
      <c r="G358" s="150"/>
    </row>
    <row r="359" spans="1:7" ht="17.25" customHeight="1">
      <c r="A359" s="41"/>
      <c r="B359" s="290">
        <f>B358</f>
        <v>1</v>
      </c>
      <c r="C359" s="290"/>
      <c r="D359" s="290"/>
      <c r="E359" s="290">
        <f>E358</f>
        <v>56</v>
      </c>
      <c r="F359" s="150"/>
      <c r="G359" s="150"/>
    </row>
    <row r="360" spans="1:7" ht="17.25" customHeight="1">
      <c r="A360" s="290" t="s">
        <v>14</v>
      </c>
      <c r="B360" s="144">
        <f>B343+B353+B359+B356</f>
        <v>65</v>
      </c>
      <c r="C360" s="144"/>
      <c r="D360" s="144"/>
      <c r="E360" s="144">
        <f>E343+E353+E359+E356</f>
        <v>5526</v>
      </c>
      <c r="F360" s="150"/>
      <c r="G360" s="150"/>
    </row>
    <row r="361" spans="1:7" ht="17.25" customHeight="1">
      <c r="A361" s="294"/>
      <c r="B361" s="145"/>
      <c r="C361" s="146"/>
      <c r="D361" s="144"/>
      <c r="E361" s="144"/>
      <c r="F361" s="150"/>
      <c r="G361" s="150"/>
    </row>
    <row r="362" spans="1:7" ht="28.5" customHeight="1">
      <c r="A362" s="322" t="s">
        <v>505</v>
      </c>
      <c r="B362" s="331"/>
      <c r="C362" s="331"/>
      <c r="D362" s="331"/>
      <c r="E362" s="331"/>
      <c r="F362" s="150"/>
      <c r="G362" s="150"/>
    </row>
    <row r="363" spans="1:7" ht="22.5" customHeight="1">
      <c r="A363" s="24" t="s">
        <v>212</v>
      </c>
      <c r="B363" s="24" t="s">
        <v>213</v>
      </c>
      <c r="C363" s="24" t="s">
        <v>214</v>
      </c>
      <c r="D363" s="24" t="s">
        <v>215</v>
      </c>
      <c r="E363" s="89" t="s">
        <v>216</v>
      </c>
      <c r="F363" s="150"/>
      <c r="G363" s="150"/>
    </row>
    <row r="364" spans="1:7" ht="17.25" customHeight="1">
      <c r="A364" s="325" t="s">
        <v>223</v>
      </c>
      <c r="B364" s="326"/>
      <c r="C364" s="327"/>
      <c r="D364" s="41"/>
      <c r="E364" s="40"/>
      <c r="F364" s="150"/>
      <c r="G364" s="150"/>
    </row>
    <row r="365" spans="1:7" ht="26.25" customHeight="1">
      <c r="A365" s="226" t="s">
        <v>509</v>
      </c>
      <c r="B365" s="226">
        <v>20</v>
      </c>
      <c r="C365" s="226" t="s">
        <v>224</v>
      </c>
      <c r="D365" s="292" t="s">
        <v>510</v>
      </c>
      <c r="E365" s="226">
        <v>1213.7</v>
      </c>
      <c r="F365" s="150"/>
      <c r="G365" s="150"/>
    </row>
    <row r="366" spans="1:7" ht="17.25" customHeight="1">
      <c r="A366" s="226" t="s">
        <v>511</v>
      </c>
      <c r="B366" s="226">
        <v>6</v>
      </c>
      <c r="C366" s="226" t="s">
        <v>228</v>
      </c>
      <c r="D366" s="292" t="s">
        <v>512</v>
      </c>
      <c r="E366" s="226">
        <v>672.4</v>
      </c>
      <c r="F366" s="150"/>
      <c r="G366" s="150"/>
    </row>
    <row r="367" spans="1:7" ht="17.25" customHeight="1">
      <c r="A367" s="226" t="s">
        <v>513</v>
      </c>
      <c r="B367" s="226">
        <v>7</v>
      </c>
      <c r="C367" s="226" t="s">
        <v>218</v>
      </c>
      <c r="D367" s="292" t="s">
        <v>514</v>
      </c>
      <c r="E367" s="226">
        <v>560.05</v>
      </c>
      <c r="F367" s="150"/>
      <c r="G367" s="150"/>
    </row>
    <row r="368" spans="1:7" ht="17.25" customHeight="1">
      <c r="A368" s="226" t="s">
        <v>515</v>
      </c>
      <c r="B368" s="226">
        <v>1</v>
      </c>
      <c r="C368" s="292" t="s">
        <v>558</v>
      </c>
      <c r="D368" s="292" t="s">
        <v>516</v>
      </c>
      <c r="E368" s="226">
        <v>62</v>
      </c>
      <c r="F368" s="150"/>
      <c r="G368" s="150"/>
    </row>
    <row r="369" spans="1:7" ht="17.25" customHeight="1">
      <c r="A369" s="226" t="s">
        <v>517</v>
      </c>
      <c r="B369" s="226">
        <v>6</v>
      </c>
      <c r="C369" s="226" t="s">
        <v>224</v>
      </c>
      <c r="D369" s="292" t="s">
        <v>518</v>
      </c>
      <c r="E369" s="226">
        <v>347</v>
      </c>
      <c r="F369" s="150"/>
      <c r="G369" s="150"/>
    </row>
    <row r="370" spans="1:7" ht="17.25" customHeight="1">
      <c r="A370" s="41"/>
      <c r="B370" s="256">
        <f>SUM(B365:B369)</f>
        <v>40</v>
      </c>
      <c r="C370" s="256"/>
      <c r="D370" s="256"/>
      <c r="E370" s="256">
        <f>SUM(E365:E369)</f>
        <v>2855.1499999999996</v>
      </c>
      <c r="F370" s="150"/>
      <c r="G370" s="150"/>
    </row>
    <row r="371" spans="1:7" ht="17.25" customHeight="1">
      <c r="A371" s="325" t="s">
        <v>217</v>
      </c>
      <c r="B371" s="326"/>
      <c r="C371" s="327"/>
      <c r="D371" s="41"/>
      <c r="E371" s="40"/>
      <c r="F371" s="150"/>
      <c r="G371" s="150"/>
    </row>
    <row r="372" spans="1:8" ht="17.25" customHeight="1">
      <c r="A372" s="226" t="s">
        <v>519</v>
      </c>
      <c r="B372" s="254">
        <v>14</v>
      </c>
      <c r="C372" s="230" t="s">
        <v>224</v>
      </c>
      <c r="D372" s="230" t="s">
        <v>520</v>
      </c>
      <c r="E372" s="254">
        <v>837</v>
      </c>
      <c r="F372" s="150"/>
      <c r="G372" s="150"/>
      <c r="H372" s="107">
        <f>B372+B375</f>
        <v>23</v>
      </c>
    </row>
    <row r="373" spans="1:7" ht="17.25" customHeight="1">
      <c r="A373" s="226" t="s">
        <v>521</v>
      </c>
      <c r="B373" s="254">
        <v>2</v>
      </c>
      <c r="C373" s="228" t="s">
        <v>485</v>
      </c>
      <c r="D373" s="257" t="s">
        <v>522</v>
      </c>
      <c r="E373" s="257">
        <v>214</v>
      </c>
      <c r="F373" s="150"/>
      <c r="G373" s="150"/>
    </row>
    <row r="374" spans="1:7" ht="17.25" customHeight="1">
      <c r="A374" s="226" t="s">
        <v>523</v>
      </c>
      <c r="B374" s="226">
        <v>10</v>
      </c>
      <c r="C374" s="228" t="s">
        <v>242</v>
      </c>
      <c r="D374" s="257" t="s">
        <v>524</v>
      </c>
      <c r="E374" s="226">
        <v>2045</v>
      </c>
      <c r="F374" s="150"/>
      <c r="G374" s="150"/>
    </row>
    <row r="375" spans="1:7" ht="17.25" customHeight="1">
      <c r="A375" s="226" t="s">
        <v>525</v>
      </c>
      <c r="B375" s="254">
        <v>9</v>
      </c>
      <c r="C375" s="230" t="s">
        <v>366</v>
      </c>
      <c r="D375" s="230" t="s">
        <v>526</v>
      </c>
      <c r="E375" s="254">
        <v>385</v>
      </c>
      <c r="F375" s="150"/>
      <c r="G375" s="150"/>
    </row>
    <row r="376" spans="1:7" ht="17.25" customHeight="1">
      <c r="A376" s="226" t="s">
        <v>527</v>
      </c>
      <c r="B376" s="254">
        <v>16</v>
      </c>
      <c r="C376" s="230" t="s">
        <v>534</v>
      </c>
      <c r="D376" s="230" t="s">
        <v>528</v>
      </c>
      <c r="E376" s="254">
        <v>972</v>
      </c>
      <c r="F376" s="150"/>
      <c r="G376" s="150"/>
    </row>
    <row r="377" spans="1:7" ht="17.25" customHeight="1">
      <c r="A377" s="226" t="s">
        <v>529</v>
      </c>
      <c r="B377" s="254">
        <v>5</v>
      </c>
      <c r="C377" s="230" t="s">
        <v>530</v>
      </c>
      <c r="D377" s="230" t="s">
        <v>531</v>
      </c>
      <c r="E377" s="254">
        <v>369</v>
      </c>
      <c r="F377" s="150"/>
      <c r="G377" s="150"/>
    </row>
    <row r="378" spans="1:7" ht="17.25" customHeight="1">
      <c r="A378" s="41"/>
      <c r="B378" s="256">
        <f>SUM(B372:B377)</f>
        <v>56</v>
      </c>
      <c r="C378" s="256"/>
      <c r="D378" s="256"/>
      <c r="E378" s="258">
        <f>SUM(E372:E377)</f>
        <v>4822</v>
      </c>
      <c r="F378" s="150"/>
      <c r="G378" s="150"/>
    </row>
    <row r="379" spans="1:7" ht="17.25" customHeight="1">
      <c r="A379" s="325" t="s">
        <v>229</v>
      </c>
      <c r="B379" s="326"/>
      <c r="C379" s="327"/>
      <c r="D379" s="256"/>
      <c r="E379" s="258"/>
      <c r="F379" s="150"/>
      <c r="G379" s="150"/>
    </row>
    <row r="380" spans="1:7" ht="17.25" customHeight="1">
      <c r="A380" s="226" t="s">
        <v>532</v>
      </c>
      <c r="B380" s="254">
        <v>6</v>
      </c>
      <c r="C380" s="254" t="s">
        <v>535</v>
      </c>
      <c r="D380" s="230" t="s">
        <v>533</v>
      </c>
      <c r="E380" s="254">
        <v>351.8</v>
      </c>
      <c r="F380" s="150"/>
      <c r="G380" s="150"/>
    </row>
    <row r="381" spans="1:7" ht="17.25" customHeight="1">
      <c r="A381" s="41"/>
      <c r="B381" s="256">
        <f>B380</f>
        <v>6</v>
      </c>
      <c r="C381" s="256"/>
      <c r="D381" s="256"/>
      <c r="E381" s="256">
        <f>E380</f>
        <v>351.8</v>
      </c>
      <c r="F381" s="150"/>
      <c r="G381" s="150"/>
    </row>
    <row r="382" spans="1:7" ht="17.25" customHeight="1">
      <c r="A382" s="256" t="s">
        <v>14</v>
      </c>
      <c r="B382" s="144">
        <f>B370+B378+B381</f>
        <v>102</v>
      </c>
      <c r="C382" s="144"/>
      <c r="D382" s="144"/>
      <c r="E382" s="144">
        <f>E370+E378+E381</f>
        <v>8028.95</v>
      </c>
      <c r="F382" s="150"/>
      <c r="G382" s="150"/>
    </row>
    <row r="383" spans="1:7" ht="17.25" customHeight="1">
      <c r="A383" s="258"/>
      <c r="B383" s="145"/>
      <c r="C383" s="146"/>
      <c r="D383" s="144"/>
      <c r="E383" s="144"/>
      <c r="F383" s="150"/>
      <c r="G383" s="150"/>
    </row>
    <row r="384" spans="1:7" ht="28.5" customHeight="1">
      <c r="A384" s="322" t="s">
        <v>536</v>
      </c>
      <c r="B384" s="331"/>
      <c r="C384" s="331"/>
      <c r="D384" s="331"/>
      <c r="E384" s="331"/>
      <c r="F384" s="150"/>
      <c r="G384" s="150"/>
    </row>
    <row r="385" spans="1:7" ht="24" customHeight="1">
      <c r="A385" s="24" t="s">
        <v>212</v>
      </c>
      <c r="B385" s="24" t="s">
        <v>213</v>
      </c>
      <c r="C385" s="24" t="s">
        <v>214</v>
      </c>
      <c r="D385" s="24" t="s">
        <v>215</v>
      </c>
      <c r="E385" s="89" t="s">
        <v>216</v>
      </c>
      <c r="F385" s="150"/>
      <c r="G385" s="150"/>
    </row>
    <row r="386" spans="1:7" ht="17.25" customHeight="1">
      <c r="A386" s="325" t="s">
        <v>223</v>
      </c>
      <c r="B386" s="326"/>
      <c r="C386" s="327"/>
      <c r="D386" s="41"/>
      <c r="E386" s="40"/>
      <c r="F386" s="150"/>
      <c r="G386" s="150"/>
    </row>
    <row r="387" spans="1:7" ht="17.25" customHeight="1">
      <c r="A387" s="226">
        <v>23108</v>
      </c>
      <c r="B387" s="226">
        <v>4</v>
      </c>
      <c r="C387" s="307" t="s">
        <v>225</v>
      </c>
      <c r="D387" s="307" t="s">
        <v>537</v>
      </c>
      <c r="E387" s="226">
        <v>334</v>
      </c>
      <c r="F387" s="150"/>
      <c r="G387" s="150"/>
    </row>
    <row r="388" spans="1:7" ht="17.25" customHeight="1">
      <c r="A388" s="41"/>
      <c r="B388" s="306">
        <f>SUM(B387:B387)</f>
        <v>4</v>
      </c>
      <c r="C388" s="306"/>
      <c r="D388" s="306"/>
      <c r="E388" s="306">
        <f>SUM(E387:E387)</f>
        <v>334</v>
      </c>
      <c r="F388" s="150"/>
      <c r="G388" s="150"/>
    </row>
    <row r="389" spans="1:7" ht="17.25" customHeight="1">
      <c r="A389" s="325" t="s">
        <v>217</v>
      </c>
      <c r="B389" s="326"/>
      <c r="C389" s="327"/>
      <c r="D389" s="41"/>
      <c r="E389" s="40"/>
      <c r="F389" s="150"/>
      <c r="G389" s="150"/>
    </row>
    <row r="390" spans="1:7" ht="17.25" customHeight="1">
      <c r="A390" s="226">
        <v>23110</v>
      </c>
      <c r="B390" s="226">
        <v>2</v>
      </c>
      <c r="C390" s="226" t="s">
        <v>224</v>
      </c>
      <c r="D390" s="226" t="s">
        <v>539</v>
      </c>
      <c r="E390" s="226">
        <v>108</v>
      </c>
      <c r="F390" s="150"/>
      <c r="G390" s="150"/>
    </row>
    <row r="391" spans="1:7" ht="17.25" customHeight="1">
      <c r="A391" s="316">
        <v>23111</v>
      </c>
      <c r="B391" s="307">
        <v>3</v>
      </c>
      <c r="C391" s="318" t="s">
        <v>242</v>
      </c>
      <c r="D391" s="307" t="s">
        <v>540</v>
      </c>
      <c r="E391" s="307">
        <v>590</v>
      </c>
      <c r="F391" s="150"/>
      <c r="G391" s="150"/>
    </row>
    <row r="392" spans="1:7" ht="17.25" customHeight="1">
      <c r="A392" s="316">
        <v>23112</v>
      </c>
      <c r="B392" s="307">
        <v>1</v>
      </c>
      <c r="C392" s="228" t="s">
        <v>246</v>
      </c>
      <c r="D392" s="307" t="s">
        <v>286</v>
      </c>
      <c r="E392" s="307">
        <v>290</v>
      </c>
      <c r="F392" s="150"/>
      <c r="G392" s="150"/>
    </row>
    <row r="393" spans="1:7" ht="17.25" customHeight="1">
      <c r="A393" s="316">
        <v>23113</v>
      </c>
      <c r="B393" s="307">
        <v>1</v>
      </c>
      <c r="C393" s="228" t="s">
        <v>541</v>
      </c>
      <c r="D393" s="307" t="s">
        <v>542</v>
      </c>
      <c r="E393" s="307">
        <v>430</v>
      </c>
      <c r="F393" s="150"/>
      <c r="G393" s="150"/>
    </row>
    <row r="394" spans="1:7" ht="17.25" customHeight="1">
      <c r="A394" s="41"/>
      <c r="B394" s="306">
        <f>SUM(B390:B393)</f>
        <v>7</v>
      </c>
      <c r="C394" s="306"/>
      <c r="D394" s="306"/>
      <c r="E394" s="306">
        <f>SUM(E390:E393)</f>
        <v>1418</v>
      </c>
      <c r="F394" s="150"/>
      <c r="G394" s="150"/>
    </row>
    <row r="395" spans="1:7" ht="17.25" customHeight="1">
      <c r="A395" s="306" t="s">
        <v>14</v>
      </c>
      <c r="B395" s="144">
        <f>B388+B394</f>
        <v>11</v>
      </c>
      <c r="C395" s="144"/>
      <c r="D395" s="144"/>
      <c r="E395" s="144">
        <f>E388+E394</f>
        <v>1752</v>
      </c>
      <c r="F395" s="150"/>
      <c r="G395" s="150"/>
    </row>
    <row r="396" spans="1:7" ht="17.25" customHeight="1">
      <c r="A396" s="308"/>
      <c r="B396" s="145"/>
      <c r="C396" s="146"/>
      <c r="D396" s="144"/>
      <c r="E396" s="144"/>
      <c r="F396" s="150"/>
      <c r="G396" s="150"/>
    </row>
    <row r="397" spans="1:7" ht="26.25" customHeight="1">
      <c r="A397" s="322" t="s">
        <v>551</v>
      </c>
      <c r="B397" s="331"/>
      <c r="C397" s="331"/>
      <c r="D397" s="331"/>
      <c r="E397" s="331"/>
      <c r="F397" s="150"/>
      <c r="G397" s="150"/>
    </row>
    <row r="398" spans="1:7" ht="25.5" customHeight="1">
      <c r="A398" s="24" t="s">
        <v>212</v>
      </c>
      <c r="B398" s="24" t="s">
        <v>213</v>
      </c>
      <c r="C398" s="24" t="s">
        <v>214</v>
      </c>
      <c r="D398" s="24" t="s">
        <v>215</v>
      </c>
      <c r="E398" s="89" t="s">
        <v>216</v>
      </c>
      <c r="F398" s="150"/>
      <c r="G398" s="150"/>
    </row>
    <row r="399" spans="1:7" ht="17.25" customHeight="1">
      <c r="A399" s="325" t="s">
        <v>223</v>
      </c>
      <c r="B399" s="326"/>
      <c r="C399" s="327"/>
      <c r="D399" s="41"/>
      <c r="E399" s="40"/>
      <c r="F399" s="150"/>
      <c r="G399" s="150"/>
    </row>
    <row r="400" spans="1:7" ht="17.25" customHeight="1">
      <c r="A400" s="226">
        <v>23109</v>
      </c>
      <c r="B400" s="226">
        <v>8</v>
      </c>
      <c r="C400" s="307" t="s">
        <v>228</v>
      </c>
      <c r="D400" s="307" t="s">
        <v>538</v>
      </c>
      <c r="E400" s="226">
        <v>894</v>
      </c>
      <c r="F400" s="150"/>
      <c r="G400" s="150"/>
    </row>
    <row r="401" spans="1:7" ht="17.25" customHeight="1">
      <c r="A401" s="41"/>
      <c r="B401" s="306">
        <f>SUM(B400:B400)</f>
        <v>8</v>
      </c>
      <c r="C401" s="306"/>
      <c r="D401" s="306"/>
      <c r="E401" s="306">
        <f>SUM(E400:E400)</f>
        <v>894</v>
      </c>
      <c r="F401" s="150"/>
      <c r="G401" s="150"/>
    </row>
    <row r="402" spans="1:7" ht="17.25" customHeight="1">
      <c r="A402" s="325" t="s">
        <v>217</v>
      </c>
      <c r="B402" s="326"/>
      <c r="C402" s="327"/>
      <c r="D402" s="41"/>
      <c r="E402" s="40"/>
      <c r="F402" s="150"/>
      <c r="G402" s="150"/>
    </row>
    <row r="403" spans="1:7" ht="17.25" customHeight="1">
      <c r="A403" s="226">
        <v>23114</v>
      </c>
      <c r="B403" s="226">
        <v>2</v>
      </c>
      <c r="C403" s="307" t="s">
        <v>228</v>
      </c>
      <c r="D403" s="307" t="s">
        <v>543</v>
      </c>
      <c r="E403" s="226">
        <v>147</v>
      </c>
      <c r="F403" s="150"/>
      <c r="G403" s="150"/>
    </row>
    <row r="404" spans="1:7" ht="17.25" customHeight="1">
      <c r="A404" s="226">
        <v>23114</v>
      </c>
      <c r="B404" s="226">
        <v>1</v>
      </c>
      <c r="C404" s="228" t="s">
        <v>233</v>
      </c>
      <c r="D404" s="309" t="s">
        <v>544</v>
      </c>
      <c r="E404" s="307">
        <v>90</v>
      </c>
      <c r="F404" s="150"/>
      <c r="G404" s="150"/>
    </row>
    <row r="405" spans="1:7" ht="17.25" customHeight="1">
      <c r="A405" s="41"/>
      <c r="B405" s="306">
        <f>SUM(B403:B404)</f>
        <v>3</v>
      </c>
      <c r="C405" s="306"/>
      <c r="D405" s="306"/>
      <c r="E405" s="306">
        <f>SUM(E403:E404)</f>
        <v>237</v>
      </c>
      <c r="F405" s="150"/>
      <c r="G405" s="150"/>
    </row>
    <row r="406" spans="1:7" ht="17.25" customHeight="1">
      <c r="A406" s="325" t="s">
        <v>230</v>
      </c>
      <c r="B406" s="326"/>
      <c r="C406" s="327"/>
      <c r="D406" s="306"/>
      <c r="E406" s="308"/>
      <c r="F406" s="150"/>
      <c r="G406" s="150"/>
    </row>
    <row r="407" spans="1:7" ht="17.25" customHeight="1">
      <c r="A407" s="235">
        <v>23139</v>
      </c>
      <c r="B407" s="226">
        <v>10</v>
      </c>
      <c r="C407" s="307" t="s">
        <v>218</v>
      </c>
      <c r="D407" s="309" t="s">
        <v>552</v>
      </c>
      <c r="E407" s="307">
        <v>675</v>
      </c>
      <c r="F407" s="150"/>
      <c r="G407" s="150"/>
    </row>
    <row r="408" spans="1:7" ht="17.25" customHeight="1">
      <c r="A408" s="41"/>
      <c r="B408" s="306">
        <f>B407</f>
        <v>10</v>
      </c>
      <c r="C408" s="306"/>
      <c r="D408" s="306"/>
      <c r="E408" s="306">
        <f>E407</f>
        <v>675</v>
      </c>
      <c r="F408" s="150"/>
      <c r="G408" s="150"/>
    </row>
    <row r="409" spans="1:7" ht="17.25" customHeight="1">
      <c r="A409" s="306" t="s">
        <v>14</v>
      </c>
      <c r="B409" s="144">
        <f>B401+B405+B408</f>
        <v>21</v>
      </c>
      <c r="C409" s="144"/>
      <c r="D409" s="144"/>
      <c r="E409" s="144">
        <f>E401+E405+E408</f>
        <v>1806</v>
      </c>
      <c r="F409" s="150"/>
      <c r="G409" s="150"/>
    </row>
    <row r="410" spans="1:7" ht="17.25" customHeight="1">
      <c r="A410" s="314"/>
      <c r="B410" s="145"/>
      <c r="C410" s="146"/>
      <c r="D410" s="144"/>
      <c r="E410" s="144"/>
      <c r="F410" s="150"/>
      <c r="G410" s="150"/>
    </row>
    <row r="411" spans="1:7" ht="33.75" customHeight="1">
      <c r="A411" s="322" t="s">
        <v>569</v>
      </c>
      <c r="B411" s="331"/>
      <c r="C411" s="331"/>
      <c r="D411" s="331"/>
      <c r="E411" s="331"/>
      <c r="F411" s="150"/>
      <c r="G411" s="150"/>
    </row>
    <row r="412" spans="1:7" ht="23.25" customHeight="1">
      <c r="A412" s="24" t="s">
        <v>212</v>
      </c>
      <c r="B412" s="24" t="s">
        <v>213</v>
      </c>
      <c r="C412" s="24" t="s">
        <v>214</v>
      </c>
      <c r="D412" s="24" t="s">
        <v>215</v>
      </c>
      <c r="E412" s="89" t="s">
        <v>216</v>
      </c>
      <c r="F412" s="150"/>
      <c r="G412" s="150"/>
    </row>
    <row r="413" spans="1:7" ht="17.25" customHeight="1">
      <c r="A413" s="325" t="s">
        <v>223</v>
      </c>
      <c r="B413" s="326"/>
      <c r="C413" s="327"/>
      <c r="D413" s="41"/>
      <c r="E413" s="40"/>
      <c r="F413" s="150"/>
      <c r="G413" s="150"/>
    </row>
    <row r="414" spans="1:7" ht="17.25" customHeight="1">
      <c r="A414" s="252">
        <v>2</v>
      </c>
      <c r="B414" s="251">
        <v>2</v>
      </c>
      <c r="C414" s="419" t="s">
        <v>224</v>
      </c>
      <c r="D414" s="239" t="s">
        <v>559</v>
      </c>
      <c r="E414" s="252">
        <v>116</v>
      </c>
      <c r="F414" s="150"/>
      <c r="G414" s="150"/>
    </row>
    <row r="415" spans="1:7" ht="17.25" customHeight="1">
      <c r="A415" s="252">
        <v>3</v>
      </c>
      <c r="B415" s="419">
        <v>8</v>
      </c>
      <c r="C415" s="251" t="s">
        <v>225</v>
      </c>
      <c r="D415" s="419" t="s">
        <v>560</v>
      </c>
      <c r="E415" s="126">
        <v>646</v>
      </c>
      <c r="F415" s="150"/>
      <c r="G415" s="150"/>
    </row>
    <row r="416" spans="1:7" ht="17.25" customHeight="1">
      <c r="A416" s="252">
        <v>4</v>
      </c>
      <c r="B416" s="251">
        <v>12</v>
      </c>
      <c r="C416" s="419" t="s">
        <v>228</v>
      </c>
      <c r="D416" s="252" t="s">
        <v>561</v>
      </c>
      <c r="E416" s="252">
        <v>1335</v>
      </c>
      <c r="F416" s="150"/>
      <c r="G416" s="150"/>
    </row>
    <row r="417" spans="1:7" ht="17.25" customHeight="1">
      <c r="A417" s="252">
        <v>5</v>
      </c>
      <c r="B417" s="126">
        <v>2</v>
      </c>
      <c r="C417" s="422" t="s">
        <v>570</v>
      </c>
      <c r="D417" s="239" t="s">
        <v>562</v>
      </c>
      <c r="E417" s="420">
        <v>1300</v>
      </c>
      <c r="F417" s="150"/>
      <c r="G417" s="150"/>
    </row>
    <row r="418" spans="1:7" ht="17.25" customHeight="1">
      <c r="A418" s="252">
        <v>6</v>
      </c>
      <c r="B418" s="421">
        <v>2</v>
      </c>
      <c r="C418" s="427" t="s">
        <v>571</v>
      </c>
      <c r="D418" s="421" t="s">
        <v>563</v>
      </c>
      <c r="E418" s="421">
        <v>2000</v>
      </c>
      <c r="F418" s="150"/>
      <c r="G418" s="150"/>
    </row>
    <row r="419" spans="1:7" ht="17.25" customHeight="1">
      <c r="A419" s="41"/>
      <c r="B419" s="315">
        <f>SUM(B414:B418)</f>
        <v>26</v>
      </c>
      <c r="C419" s="315"/>
      <c r="D419" s="315"/>
      <c r="E419" s="315">
        <f>SUM(E414:E418)</f>
        <v>5397</v>
      </c>
      <c r="F419" s="150"/>
      <c r="G419" s="150"/>
    </row>
    <row r="420" spans="1:7" ht="17.25" customHeight="1">
      <c r="A420" s="325" t="s">
        <v>217</v>
      </c>
      <c r="B420" s="326"/>
      <c r="C420" s="327"/>
      <c r="D420" s="41"/>
      <c r="E420" s="40"/>
      <c r="F420" s="150"/>
      <c r="G420" s="150"/>
    </row>
    <row r="421" spans="1:7" ht="17.25" customHeight="1">
      <c r="A421" s="252">
        <v>7</v>
      </c>
      <c r="B421" s="419">
        <v>3</v>
      </c>
      <c r="C421" s="126" t="s">
        <v>224</v>
      </c>
      <c r="D421" s="252" t="s">
        <v>564</v>
      </c>
      <c r="E421" s="126">
        <v>150</v>
      </c>
      <c r="F421" s="150"/>
      <c r="G421" s="150"/>
    </row>
    <row r="422" spans="1:7" ht="17.25" customHeight="1">
      <c r="A422" s="126">
        <v>8</v>
      </c>
      <c r="B422" s="419">
        <v>11</v>
      </c>
      <c r="C422" s="425" t="s">
        <v>233</v>
      </c>
      <c r="D422" s="423" t="s">
        <v>565</v>
      </c>
      <c r="E422" s="126">
        <v>1229</v>
      </c>
      <c r="F422" s="150"/>
      <c r="G422" s="150"/>
    </row>
    <row r="423" spans="1:7" ht="17.25" customHeight="1">
      <c r="A423" s="126">
        <v>9</v>
      </c>
      <c r="B423" s="126">
        <v>6</v>
      </c>
      <c r="C423" s="425" t="s">
        <v>242</v>
      </c>
      <c r="D423" s="423" t="s">
        <v>566</v>
      </c>
      <c r="E423" s="126">
        <v>1229</v>
      </c>
      <c r="F423" s="150"/>
      <c r="G423" s="150"/>
    </row>
    <row r="424" spans="1:7" ht="17.25" customHeight="1">
      <c r="A424" s="433">
        <v>10</v>
      </c>
      <c r="B424" s="424">
        <v>9</v>
      </c>
      <c r="C424" s="426" t="s">
        <v>246</v>
      </c>
      <c r="D424" s="424" t="s">
        <v>568</v>
      </c>
      <c r="E424" s="424">
        <v>2357</v>
      </c>
      <c r="F424" s="150"/>
      <c r="G424" s="150"/>
    </row>
    <row r="425" spans="1:7" ht="17.25" customHeight="1">
      <c r="A425" s="41"/>
      <c r="B425" s="315">
        <f>SUM(B421:B424)</f>
        <v>29</v>
      </c>
      <c r="C425" s="315"/>
      <c r="D425" s="315"/>
      <c r="E425" s="315">
        <f>SUM(E421:E424)</f>
        <v>4965</v>
      </c>
      <c r="F425" s="150"/>
      <c r="G425" s="150"/>
    </row>
    <row r="426" spans="1:7" ht="17.25" customHeight="1">
      <c r="A426" s="325" t="s">
        <v>229</v>
      </c>
      <c r="B426" s="326"/>
      <c r="C426" s="327"/>
      <c r="D426" s="315"/>
      <c r="E426" s="314"/>
      <c r="F426" s="150"/>
      <c r="G426" s="150"/>
    </row>
    <row r="427" spans="1:7" ht="17.25" customHeight="1">
      <c r="A427" s="252">
        <v>1</v>
      </c>
      <c r="B427" s="251">
        <v>3</v>
      </c>
      <c r="C427" s="251" t="s">
        <v>225</v>
      </c>
      <c r="D427" s="252" t="s">
        <v>567</v>
      </c>
      <c r="E427" s="252">
        <v>186</v>
      </c>
      <c r="F427" s="150"/>
      <c r="G427" s="150"/>
    </row>
    <row r="428" spans="1:7" ht="17.25" customHeight="1">
      <c r="A428" s="41"/>
      <c r="B428" s="315">
        <f>B427</f>
        <v>3</v>
      </c>
      <c r="C428" s="315"/>
      <c r="D428" s="315"/>
      <c r="E428" s="315">
        <f>E427</f>
        <v>186</v>
      </c>
      <c r="F428" s="150"/>
      <c r="G428" s="150"/>
    </row>
    <row r="429" spans="1:7" ht="17.25" customHeight="1">
      <c r="A429" s="315" t="s">
        <v>14</v>
      </c>
      <c r="B429" s="144">
        <f>B419+B425+B428</f>
        <v>58</v>
      </c>
      <c r="C429" s="144"/>
      <c r="D429" s="144"/>
      <c r="E429" s="144">
        <f>E419+E425+E428</f>
        <v>10548</v>
      </c>
      <c r="F429" s="144">
        <f>F419+F425+F428</f>
        <v>0</v>
      </c>
      <c r="G429" s="144">
        <f>G419+G425+G428</f>
        <v>0</v>
      </c>
    </row>
    <row r="430" spans="1:7" ht="17.25" customHeight="1">
      <c r="A430" s="314"/>
      <c r="B430" s="145"/>
      <c r="C430" s="146"/>
      <c r="D430" s="144"/>
      <c r="E430" s="144"/>
      <c r="F430" s="150"/>
      <c r="G430" s="150"/>
    </row>
    <row r="431" spans="1:7" ht="31.5" customHeight="1">
      <c r="A431" s="322" t="s">
        <v>583</v>
      </c>
      <c r="B431" s="331"/>
      <c r="C431" s="331"/>
      <c r="D431" s="331"/>
      <c r="E431" s="331"/>
      <c r="F431" s="150"/>
      <c r="G431" s="150"/>
    </row>
    <row r="432" spans="1:7" ht="24" customHeight="1">
      <c r="A432" s="24" t="s">
        <v>212</v>
      </c>
      <c r="B432" s="24" t="s">
        <v>213</v>
      </c>
      <c r="C432" s="24" t="s">
        <v>214</v>
      </c>
      <c r="D432" s="24" t="s">
        <v>215</v>
      </c>
      <c r="E432" s="89" t="s">
        <v>216</v>
      </c>
      <c r="F432" s="150"/>
      <c r="G432" s="150"/>
    </row>
    <row r="433" spans="1:7" ht="17.25" customHeight="1">
      <c r="A433" s="325" t="s">
        <v>223</v>
      </c>
      <c r="B433" s="326"/>
      <c r="C433" s="327"/>
      <c r="D433" s="41"/>
      <c r="E433" s="40"/>
      <c r="F433" s="150"/>
      <c r="G433" s="150"/>
    </row>
    <row r="434" spans="1:7" ht="17.25" customHeight="1">
      <c r="A434" s="430" t="s">
        <v>572</v>
      </c>
      <c r="B434" s="428">
        <v>1</v>
      </c>
      <c r="C434" s="230" t="s">
        <v>225</v>
      </c>
      <c r="D434" s="428" t="s">
        <v>573</v>
      </c>
      <c r="E434" s="428">
        <v>85</v>
      </c>
      <c r="F434" s="150"/>
      <c r="G434" s="150"/>
    </row>
    <row r="435" spans="1:7" ht="17.25" customHeight="1">
      <c r="A435" s="230" t="s">
        <v>574</v>
      </c>
      <c r="B435" s="230">
        <v>2</v>
      </c>
      <c r="C435" s="230" t="s">
        <v>228</v>
      </c>
      <c r="D435" s="431" t="s">
        <v>575</v>
      </c>
      <c r="E435" s="230">
        <v>244</v>
      </c>
      <c r="F435" s="150"/>
      <c r="G435" s="150"/>
    </row>
    <row r="436" spans="1:7" ht="17.25" customHeight="1">
      <c r="A436" s="41"/>
      <c r="B436" s="315">
        <f>SUM(B434:B435)</f>
        <v>3</v>
      </c>
      <c r="C436" s="315"/>
      <c r="D436" s="315"/>
      <c r="E436" s="315">
        <f>SUM(E434:E435)</f>
        <v>329</v>
      </c>
      <c r="F436" s="150"/>
      <c r="G436" s="150"/>
    </row>
    <row r="437" spans="1:7" ht="17.25" customHeight="1">
      <c r="A437" s="325" t="s">
        <v>217</v>
      </c>
      <c r="B437" s="326"/>
      <c r="C437" s="327"/>
      <c r="D437" s="41"/>
      <c r="E437" s="40"/>
      <c r="F437" s="150"/>
      <c r="G437" s="150"/>
    </row>
    <row r="438" spans="1:7" ht="17.25" customHeight="1">
      <c r="A438" s="432" t="s">
        <v>576</v>
      </c>
      <c r="B438" s="226">
        <v>2</v>
      </c>
      <c r="C438" s="229" t="s">
        <v>233</v>
      </c>
      <c r="D438" s="317" t="s">
        <v>577</v>
      </c>
      <c r="E438" s="316">
        <v>234</v>
      </c>
      <c r="F438" s="150"/>
      <c r="G438" s="150"/>
    </row>
    <row r="439" spans="1:7" ht="17.25" customHeight="1">
      <c r="A439" s="432" t="s">
        <v>576</v>
      </c>
      <c r="B439" s="316">
        <v>2</v>
      </c>
      <c r="C439" s="228" t="s">
        <v>242</v>
      </c>
      <c r="D439" s="316" t="s">
        <v>578</v>
      </c>
      <c r="E439" s="316">
        <v>420</v>
      </c>
      <c r="F439" s="150"/>
      <c r="G439" s="150"/>
    </row>
    <row r="440" spans="1:7" ht="17.25" customHeight="1">
      <c r="A440" s="432" t="s">
        <v>576</v>
      </c>
      <c r="B440" s="316">
        <v>2</v>
      </c>
      <c r="C440" s="228" t="s">
        <v>579</v>
      </c>
      <c r="D440" s="316" t="s">
        <v>580</v>
      </c>
      <c r="E440" s="316">
        <v>555</v>
      </c>
      <c r="F440" s="150"/>
      <c r="G440" s="150"/>
    </row>
    <row r="441" spans="1:7" ht="17.25" customHeight="1">
      <c r="A441" s="429" t="s">
        <v>581</v>
      </c>
      <c r="B441" s="225">
        <v>2</v>
      </c>
      <c r="C441" s="317" t="s">
        <v>228</v>
      </c>
      <c r="D441" s="317" t="s">
        <v>582</v>
      </c>
      <c r="E441" s="317">
        <v>165</v>
      </c>
      <c r="F441" s="150"/>
      <c r="G441" s="150"/>
    </row>
    <row r="442" spans="1:7" ht="17.25" customHeight="1">
      <c r="A442" s="41"/>
      <c r="B442" s="315">
        <f>SUM(B438:B441)</f>
        <v>8</v>
      </c>
      <c r="C442" s="315"/>
      <c r="D442" s="315"/>
      <c r="E442" s="315">
        <f>SUM(E438:E441)</f>
        <v>1374</v>
      </c>
      <c r="F442" s="150"/>
      <c r="G442" s="150"/>
    </row>
    <row r="443" spans="1:7" ht="17.25" customHeight="1">
      <c r="A443" s="315" t="s">
        <v>14</v>
      </c>
      <c r="B443" s="144">
        <f>B436+B442</f>
        <v>11</v>
      </c>
      <c r="C443" s="144"/>
      <c r="D443" s="144"/>
      <c r="E443" s="144">
        <f>E436+E442</f>
        <v>1703</v>
      </c>
      <c r="F443" s="144">
        <f>F436+F442</f>
        <v>0</v>
      </c>
      <c r="G443" s="144">
        <f>G436+G442</f>
        <v>0</v>
      </c>
    </row>
    <row r="444" spans="1:7" ht="17.25" customHeight="1">
      <c r="A444" s="243"/>
      <c r="B444" s="145"/>
      <c r="C444" s="146"/>
      <c r="D444" s="144"/>
      <c r="E444" s="144"/>
      <c r="F444" s="150"/>
      <c r="G444" s="150"/>
    </row>
    <row r="445" spans="1:8" s="2" customFormat="1" ht="21" customHeight="1">
      <c r="A445" s="347" t="s">
        <v>22</v>
      </c>
      <c r="B445" s="348"/>
      <c r="C445" s="349"/>
      <c r="D445" s="9"/>
      <c r="E445" s="11"/>
      <c r="H445" s="109"/>
    </row>
    <row r="446" spans="1:8" s="2" customFormat="1" ht="18" customHeight="1">
      <c r="A446" s="40"/>
      <c r="B446" s="148"/>
      <c r="C446" s="149"/>
      <c r="D446" s="44"/>
      <c r="E446" s="45">
        <f>SUM(E448:E451)</f>
        <v>5.5760000000000005</v>
      </c>
      <c r="F446" s="170"/>
      <c r="H446" s="206"/>
    </row>
    <row r="447" spans="1:18" ht="17.25" customHeight="1">
      <c r="A447" s="41" t="s">
        <v>5</v>
      </c>
      <c r="B447" s="322" t="s">
        <v>17</v>
      </c>
      <c r="C447" s="323"/>
      <c r="D447" s="147" t="s">
        <v>18</v>
      </c>
      <c r="E447" s="41" t="s">
        <v>7</v>
      </c>
      <c r="F447" s="98"/>
      <c r="G447" s="99" t="str">
        <f>CONCATENATE("Cable Scrap, Lying at ",B448,". Quantity in MT - ")</f>
        <v>Cable Scrap, Lying at CS Ferozepur. Quantity in MT - </v>
      </c>
      <c r="H447" s="319" t="str">
        <f ca="1">CONCATENATE(G447,G448,(INDIRECT(I448)),(INDIRECT(J448)),(INDIRECT(K448)),(INDIRECT(L448)),(INDIRECT(M448)),(INDIRECT(N448)),(INDIRECT(O448)),(INDIRECT(P448)),(INDIRECT(Q448)),(INDIRECT(R448)))</f>
        <v>Cable Scrap, Lying at CS Ferozepur. Quantity in MT - 2/core PVC Alumn. Cable scrap - 0.676, 4/core PVC Alumn. Cable scrap - 2.192, 1/ core XLPE Alu cable scrap - 0.136, 3/ core XLPE Alu cable scrap - 2.572, </v>
      </c>
      <c r="I447" s="106" t="str">
        <f aca="true" ca="1" t="array" ref="I447">CELL("address",INDEX(G447:G471,MATCH(TRUE,ISBLANK(G447:G471),0)))</f>
        <v>$G$452</v>
      </c>
      <c r="J447" s="106">
        <f aca="true" t="array" ref="J447">MATCH(TRUE,ISBLANK(G447:G471),0)</f>
        <v>6</v>
      </c>
      <c r="K447" s="106">
        <f>J447-3</f>
        <v>3</v>
      </c>
      <c r="L447" s="106"/>
      <c r="M447" s="106"/>
      <c r="N447" s="106"/>
      <c r="O447" s="106"/>
      <c r="P447" s="106"/>
      <c r="Q447" s="106"/>
      <c r="R447" s="106"/>
    </row>
    <row r="448" spans="1:18" ht="15" customHeight="1">
      <c r="A448" s="320" t="s">
        <v>35</v>
      </c>
      <c r="B448" s="320" t="s">
        <v>99</v>
      </c>
      <c r="C448" s="320"/>
      <c r="D448" s="35" t="s">
        <v>90</v>
      </c>
      <c r="E448" s="293">
        <v>0.676</v>
      </c>
      <c r="F448" s="98">
        <v>0.591</v>
      </c>
      <c r="G448" s="98" t="str">
        <f>CONCATENATE(D448," - ",E448,", ")</f>
        <v>2/core PVC Alumn. Cable scrap - 0.676, </v>
      </c>
      <c r="H448" s="319"/>
      <c r="I448" s="106" t="str">
        <f ca="1">IF(J447&gt;=3,(MID(I447,2,1)&amp;MID(I447,4,3)-K447),CELL("address",Z448))</f>
        <v>G449</v>
      </c>
      <c r="J448" s="106" t="str">
        <f ca="1">IF(J447&gt;=4,(MID(I448,1,1)&amp;MID(I448,2,3)+1),CELL("address",AA448))</f>
        <v>G450</v>
      </c>
      <c r="K448" s="106" t="str">
        <f ca="1">IF(J447&gt;=5,(MID(J448,1,1)&amp;MID(J448,2,3)+1),CELL("address",AB448))</f>
        <v>G451</v>
      </c>
      <c r="L448" s="106" t="str">
        <f ca="1">IF(J447&gt;=6,(MID(K448,1,1)&amp;MID(K448,2,3)+1),CELL("address",AC448))</f>
        <v>G452</v>
      </c>
      <c r="M448" s="106" t="str">
        <f ca="1">IF(J447&gt;=7,(MID(L448,1,1)&amp;MID(L448,2,3)+1),CELL("address",AD448))</f>
        <v>$AD$448</v>
      </c>
      <c r="N448" s="106" t="str">
        <f ca="1">IF(J447&gt;=8,(MID(M448,1,1)&amp;MID(M448,2,3)+1),CELL("address",AE448))</f>
        <v>$AE$448</v>
      </c>
      <c r="O448" s="106" t="str">
        <f ca="1">IF(J447&gt;=9,(MID(N448,1,1)&amp;MID(N448,2,3)+1),CELL("address",AF448))</f>
        <v>$AF$448</v>
      </c>
      <c r="P448" s="106" t="str">
        <f ca="1">IF(J447&gt;=10,(MID(O448,1,1)&amp;MID(O448,2,3)+1),CELL("address",AG448))</f>
        <v>$AG$448</v>
      </c>
      <c r="Q448" s="106" t="str">
        <f ca="1">IF(J447&gt;=11,(MID(P448,1,1)&amp;MID(P448,2,3)+1),CELL("address",AH448))</f>
        <v>$AH$448</v>
      </c>
      <c r="R448" s="106" t="str">
        <f ca="1">IF(J447&gt;=12,(MID(Q448,1,1)&amp;MID(Q448,2,3)+1),CELL("address",AI448))</f>
        <v>$AI$448</v>
      </c>
    </row>
    <row r="449" spans="1:8" ht="15" customHeight="1">
      <c r="A449" s="320"/>
      <c r="B449" s="320"/>
      <c r="C449" s="320"/>
      <c r="D449" s="35" t="s">
        <v>91</v>
      </c>
      <c r="E449" s="293">
        <v>2.192</v>
      </c>
      <c r="F449" s="98">
        <v>0.301</v>
      </c>
      <c r="G449" s="98" t="str">
        <f>CONCATENATE(D449," - ",E449,", ")</f>
        <v>4/core PVC Alumn. Cable scrap - 2.192, </v>
      </c>
      <c r="H449" s="110"/>
    </row>
    <row r="450" spans="1:8" ht="15" customHeight="1">
      <c r="A450" s="320"/>
      <c r="B450" s="320"/>
      <c r="C450" s="320"/>
      <c r="D450" s="46" t="s">
        <v>97</v>
      </c>
      <c r="E450" s="46">
        <v>0.136</v>
      </c>
      <c r="F450" s="98"/>
      <c r="G450" s="98" t="str">
        <f>CONCATENATE(D450," - ",E450,", ")</f>
        <v>1/ core XLPE Alu cable scrap - 0.136, </v>
      </c>
      <c r="H450" s="110"/>
    </row>
    <row r="451" spans="1:8" ht="15" customHeight="1">
      <c r="A451" s="320"/>
      <c r="B451" s="320"/>
      <c r="C451" s="320"/>
      <c r="D451" s="35" t="s">
        <v>92</v>
      </c>
      <c r="E451" s="50">
        <v>2.572</v>
      </c>
      <c r="F451" s="98">
        <v>2.512</v>
      </c>
      <c r="G451" s="98" t="str">
        <f>CONCATENATE(D451," - ",E451,", ")</f>
        <v>3/ core XLPE Alu cable scrap - 2.572, </v>
      </c>
      <c r="H451" s="110"/>
    </row>
    <row r="452" spans="1:8" ht="15" customHeight="1">
      <c r="A452" s="40"/>
      <c r="B452" s="49"/>
      <c r="C452" s="295"/>
      <c r="D452" s="35"/>
      <c r="E452" s="50"/>
      <c r="F452" s="98"/>
      <c r="G452" s="98"/>
      <c r="H452" s="110"/>
    </row>
    <row r="453" spans="1:8" ht="15" customHeight="1">
      <c r="A453" s="41"/>
      <c r="B453" s="339"/>
      <c r="C453" s="340"/>
      <c r="D453" s="292"/>
      <c r="E453" s="53">
        <f>SUM(E455:E458)</f>
        <v>3.0989999999999998</v>
      </c>
      <c r="F453" s="98"/>
      <c r="G453" s="98"/>
      <c r="H453" s="110"/>
    </row>
    <row r="454" spans="1:18" ht="15" customHeight="1">
      <c r="A454" s="41" t="s">
        <v>5</v>
      </c>
      <c r="B454" s="320" t="s">
        <v>17</v>
      </c>
      <c r="C454" s="320"/>
      <c r="D454" s="290" t="s">
        <v>18</v>
      </c>
      <c r="E454" s="41" t="s">
        <v>7</v>
      </c>
      <c r="F454" s="98"/>
      <c r="G454" s="99" t="str">
        <f>CONCATENATE("Cable Scrap, Lying at ",B455,". Quantity in MT - ")</f>
        <v>Cable Scrap, Lying at OL Shri Muktsar Sahib. Quantity in MT - </v>
      </c>
      <c r="H454" s="319" t="str">
        <f ca="1">CONCATENATE(G454,G455,(INDIRECT(I455)),(INDIRECT(J455)),(INDIRECT(K455)),(INDIRECT(L455)),(INDIRECT(M455)),(INDIRECT(N455)),(INDIRECT(O455)),(INDIRECT(P455)),(INDIRECT(Q455)),(INDIRECT(R455)),".")</f>
        <v>Cable Scrap, Lying at OL Shri Muktsar Sahib. Quantity in MT - 4/core PVC Alumn. Cable scrap - 0.509, 3/ core XLPE Alu cable scrap - 1.96, 1/core PVC Alumn. Cable scrap - 0.141, 2/core PVC Alumn. Cable scrap - 0.489, .</v>
      </c>
      <c r="I454" s="106" t="str">
        <f aca="true" ca="1" t="array" ref="I454">CELL("address",INDEX(G454:G482,MATCH(TRUE,ISBLANK(G454:G482),0)))</f>
        <v>$G$459</v>
      </c>
      <c r="J454" s="106">
        <f aca="true" t="array" ref="J454">MATCH(TRUE,ISBLANK(G454:G482),0)</f>
        <v>6</v>
      </c>
      <c r="K454" s="106">
        <f>J454-3</f>
        <v>3</v>
      </c>
      <c r="L454" s="106"/>
      <c r="M454" s="106"/>
      <c r="N454" s="106"/>
      <c r="O454" s="106"/>
      <c r="P454" s="106"/>
      <c r="Q454" s="106"/>
      <c r="R454" s="106"/>
    </row>
    <row r="455" spans="1:18" ht="15" customHeight="1">
      <c r="A455" s="330" t="s">
        <v>93</v>
      </c>
      <c r="B455" s="350" t="s">
        <v>146</v>
      </c>
      <c r="C455" s="351"/>
      <c r="D455" s="46" t="s">
        <v>91</v>
      </c>
      <c r="E455" s="47">
        <v>0.509</v>
      </c>
      <c r="F455" s="98"/>
      <c r="G455" s="98" t="str">
        <f>CONCATENATE(D455," - ",E455,", ")</f>
        <v>4/core PVC Alumn. Cable scrap - 0.509, </v>
      </c>
      <c r="H455" s="319"/>
      <c r="I455" s="106" t="str">
        <f ca="1">IF(J454&gt;=3,(MID(I454,2,1)&amp;MID(I454,4,3)-K454),CELL("address",Z455))</f>
        <v>G456</v>
      </c>
      <c r="J455" s="106" t="str">
        <f ca="1">IF(J454&gt;=4,(MID(I455,1,1)&amp;MID(I455,2,3)+1),CELL("address",AA455))</f>
        <v>G457</v>
      </c>
      <c r="K455" s="106" t="str">
        <f ca="1">IF(J454&gt;=5,(MID(J455,1,1)&amp;MID(J455,2,3)+1),CELL("address",AB455))</f>
        <v>G458</v>
      </c>
      <c r="L455" s="106" t="str">
        <f ca="1">IF(J454&gt;=6,(MID(K455,1,1)&amp;MID(K455,2,3)+1),CELL("address",AC455))</f>
        <v>G459</v>
      </c>
      <c r="M455" s="106" t="str">
        <f ca="1">IF(J454&gt;=7,(MID(L455,1,1)&amp;MID(L455,2,3)+1),CELL("address",AD455))</f>
        <v>$AD$455</v>
      </c>
      <c r="N455" s="106" t="str">
        <f ca="1">IF(J454&gt;=8,(MID(M455,1,1)&amp;MID(M455,2,3)+1),CELL("address",AE455))</f>
        <v>$AE$455</v>
      </c>
      <c r="O455" s="106" t="str">
        <f ca="1">IF(J454&gt;=9,(MID(N455,1,1)&amp;MID(N455,2,3)+1),CELL("address",AF455))</f>
        <v>$AF$455</v>
      </c>
      <c r="P455" s="106" t="str">
        <f ca="1">IF(J454&gt;=10,(MID(O455,1,1)&amp;MID(O455,2,3)+1),CELL("address",AG455))</f>
        <v>$AG$455</v>
      </c>
      <c r="Q455" s="106" t="str">
        <f ca="1">IF(J454&gt;=11,(MID(P455,1,1)&amp;MID(P455,2,3)+1),CELL("address",AH455))</f>
        <v>$AH$455</v>
      </c>
      <c r="R455" s="106" t="str">
        <f ca="1">IF(J454&gt;=12,(MID(Q455,1,1)&amp;MID(Q455,2,3)+1),CELL("address",AI455))</f>
        <v>$AI$455</v>
      </c>
    </row>
    <row r="456" spans="1:8" ht="15" customHeight="1">
      <c r="A456" s="405"/>
      <c r="B456" s="371"/>
      <c r="C456" s="372"/>
      <c r="D456" s="35" t="s">
        <v>92</v>
      </c>
      <c r="E456" s="293">
        <v>1.96</v>
      </c>
      <c r="F456" s="98">
        <v>1.75</v>
      </c>
      <c r="G456" s="98" t="str">
        <f>CONCATENATE(D456," - ",E456,", ")</f>
        <v>3/ core XLPE Alu cable scrap - 1.96, </v>
      </c>
      <c r="H456" s="110"/>
    </row>
    <row r="457" spans="1:8" ht="15" customHeight="1">
      <c r="A457" s="405"/>
      <c r="B457" s="371"/>
      <c r="C457" s="372"/>
      <c r="D457" s="46" t="s">
        <v>171</v>
      </c>
      <c r="E457" s="76">
        <v>0.141</v>
      </c>
      <c r="F457" s="98"/>
      <c r="G457" s="98" t="str">
        <f>CONCATENATE(D457," - ",E457,", ")</f>
        <v>1/core PVC Alumn. Cable scrap - 0.141, </v>
      </c>
      <c r="H457" s="110"/>
    </row>
    <row r="458" spans="1:8" ht="15" customHeight="1">
      <c r="A458" s="406"/>
      <c r="B458" s="373"/>
      <c r="C458" s="374"/>
      <c r="D458" s="46" t="s">
        <v>90</v>
      </c>
      <c r="E458" s="76">
        <v>0.489</v>
      </c>
      <c r="F458" s="98"/>
      <c r="G458" s="98" t="str">
        <f>CONCATENATE(D458," - ",E458,", ")</f>
        <v>2/core PVC Alumn. Cable scrap - 0.489, </v>
      </c>
      <c r="H458" s="110"/>
    </row>
    <row r="459" spans="1:8" ht="15" customHeight="1">
      <c r="A459" s="41"/>
      <c r="B459" s="339"/>
      <c r="C459" s="340"/>
      <c r="D459" s="72"/>
      <c r="E459" s="76"/>
      <c r="F459" s="98"/>
      <c r="G459" s="98"/>
      <c r="H459" s="110"/>
    </row>
    <row r="460" spans="1:8" ht="15" customHeight="1">
      <c r="A460" s="41"/>
      <c r="B460" s="339"/>
      <c r="C460" s="340"/>
      <c r="D460" s="304"/>
      <c r="E460" s="45">
        <f>SUM(E462:E465)</f>
        <v>2.7920000000000003</v>
      </c>
      <c r="F460" s="98"/>
      <c r="G460" s="98"/>
      <c r="H460" s="110"/>
    </row>
    <row r="461" spans="1:18" ht="15" customHeight="1">
      <c r="A461" s="41" t="s">
        <v>5</v>
      </c>
      <c r="B461" s="322" t="s">
        <v>17</v>
      </c>
      <c r="C461" s="323"/>
      <c r="D461" s="294" t="s">
        <v>18</v>
      </c>
      <c r="E461" s="41" t="s">
        <v>7</v>
      </c>
      <c r="F461" s="98"/>
      <c r="G461" s="99" t="str">
        <f>CONCATENATE("Cable Scrap, Lying at ",B462,". Quantity in MT - ")</f>
        <v>Cable Scrap, Lying at OL Bhagta Bhai Ka. Quantity in MT - </v>
      </c>
      <c r="H461" s="319" t="str">
        <f ca="1">CONCATENATE(G461,G462,(INDIRECT(I462)),(INDIRECT(J462)),(INDIRECT(K462)),(INDIRECT(L462)),(INDIRECT(M462)),(INDIRECT(N462)),(INDIRECT(O462)),(INDIRECT(P462)),(INDIRECT(Q462)),(INDIRECT(R462)),".")</f>
        <v>Cable Scrap, Lying at OL Bhagta Bhai Ka. Quantity in MT - 4/core PVC Alumn. Cable scrap - 1.366, 2/core PVC Alumn. Cable scrap - 0.353, 3/ core XLPE Alu cable scrap - 0.671, ABC cable scrap (150 mm) - 0.402, .</v>
      </c>
      <c r="I461" s="106" t="str">
        <f aca="true" ca="1" t="array" ref="I461">CELL("address",INDEX(G461:G488,MATCH(TRUE,ISBLANK(G461:G488),0)))</f>
        <v>$G$466</v>
      </c>
      <c r="J461" s="106">
        <f aca="true" t="array" ref="J461">MATCH(TRUE,ISBLANK(G461:G488),0)</f>
        <v>6</v>
      </c>
      <c r="K461" s="106">
        <f>J461-3</f>
        <v>3</v>
      </c>
      <c r="L461" s="106"/>
      <c r="M461" s="106"/>
      <c r="N461" s="106"/>
      <c r="O461" s="106"/>
      <c r="P461" s="106"/>
      <c r="Q461" s="106"/>
      <c r="R461" s="106"/>
    </row>
    <row r="462" spans="1:18" ht="15" customHeight="1">
      <c r="A462" s="320" t="s">
        <v>94</v>
      </c>
      <c r="B462" s="320" t="s">
        <v>100</v>
      </c>
      <c r="C462" s="320"/>
      <c r="D462" s="35" t="s">
        <v>91</v>
      </c>
      <c r="E462" s="311">
        <v>1.366</v>
      </c>
      <c r="F462" s="98"/>
      <c r="G462" s="98" t="str">
        <f>CONCATENATE(D462," - ",E462,", ")</f>
        <v>4/core PVC Alumn. Cable scrap - 1.366, </v>
      </c>
      <c r="H462" s="319"/>
      <c r="I462" s="106" t="str">
        <f ca="1">IF(J461&gt;=3,(MID(I461,2,1)&amp;MID(I461,4,3)-K461),CELL("address",Z462))</f>
        <v>G463</v>
      </c>
      <c r="J462" s="106" t="str">
        <f ca="1">IF(J461&gt;=4,(MID(I462,1,1)&amp;MID(I462,2,3)+1),CELL("address",AA462))</f>
        <v>G464</v>
      </c>
      <c r="K462" s="106" t="str">
        <f ca="1">IF(J461&gt;=5,(MID(J462,1,1)&amp;MID(J462,2,3)+1),CELL("address",AB462))</f>
        <v>G465</v>
      </c>
      <c r="L462" s="106" t="str">
        <f ca="1">IF(J461&gt;=6,(MID(K462,1,1)&amp;MID(K462,2,3)+1),CELL("address",AC462))</f>
        <v>G466</v>
      </c>
      <c r="M462" s="106" t="str">
        <f ca="1">IF(J461&gt;=7,(MID(L462,1,1)&amp;MID(L462,2,3)+1),CELL("address",AD462))</f>
        <v>$AD$462</v>
      </c>
      <c r="N462" s="106" t="str">
        <f ca="1">IF(J461&gt;=8,(MID(M462,1,1)&amp;MID(M462,2,3)+1),CELL("address",AE462))</f>
        <v>$AE$462</v>
      </c>
      <c r="O462" s="106" t="str">
        <f ca="1">IF(J461&gt;=9,(MID(N462,1,1)&amp;MID(N462,2,3)+1),CELL("address",AF462))</f>
        <v>$AF$462</v>
      </c>
      <c r="P462" s="106" t="str">
        <f ca="1">IF(J461&gt;=10,(MID(O462,1,1)&amp;MID(O462,2,3)+1),CELL("address",AG462))</f>
        <v>$AG$462</v>
      </c>
      <c r="Q462" s="106" t="str">
        <f ca="1">IF(J461&gt;=11,(MID(P462,1,1)&amp;MID(P462,2,3)+1),CELL("address",AH462))</f>
        <v>$AH$462</v>
      </c>
      <c r="R462" s="106" t="str">
        <f ca="1">IF(J461&gt;=12,(MID(Q462,1,1)&amp;MID(Q462,2,3)+1),CELL("address",AI462))</f>
        <v>$AI$462</v>
      </c>
    </row>
    <row r="463" spans="1:8" ht="15" customHeight="1">
      <c r="A463" s="320"/>
      <c r="B463" s="320"/>
      <c r="C463" s="320"/>
      <c r="D463" s="35" t="s">
        <v>90</v>
      </c>
      <c r="E463" s="313">
        <v>0.353</v>
      </c>
      <c r="F463" s="98"/>
      <c r="G463" s="98" t="str">
        <f>CONCATENATE(D463," - ",E463,", ")</f>
        <v>2/core PVC Alumn. Cable scrap - 0.353, </v>
      </c>
      <c r="H463" s="110"/>
    </row>
    <row r="464" spans="1:8" ht="15" customHeight="1">
      <c r="A464" s="320"/>
      <c r="B464" s="320"/>
      <c r="C464" s="320"/>
      <c r="D464" s="35" t="s">
        <v>92</v>
      </c>
      <c r="E464" s="313">
        <v>0.671</v>
      </c>
      <c r="F464" s="98"/>
      <c r="G464" s="98" t="str">
        <f>CONCATENATE(D464," - ",E464,", ")</f>
        <v>3/ core XLPE Alu cable scrap - 0.671, </v>
      </c>
      <c r="H464" s="110"/>
    </row>
    <row r="465" spans="1:8" ht="15" customHeight="1">
      <c r="A465" s="320"/>
      <c r="B465" s="320"/>
      <c r="C465" s="320"/>
      <c r="D465" s="46" t="s">
        <v>248</v>
      </c>
      <c r="E465" s="76">
        <v>0.402</v>
      </c>
      <c r="F465" s="98"/>
      <c r="G465" s="98" t="str">
        <f>CONCATENATE(D465," - ",E465,", ")</f>
        <v>ABC cable scrap (150 mm) - 0.402, </v>
      </c>
      <c r="H465" s="110"/>
    </row>
    <row r="466" spans="1:8" ht="15" customHeight="1">
      <c r="A466" s="40"/>
      <c r="B466" s="42"/>
      <c r="C466" s="43"/>
      <c r="D466" s="72"/>
      <c r="E466" s="76"/>
      <c r="F466" s="98"/>
      <c r="G466" s="98"/>
      <c r="H466" s="110"/>
    </row>
    <row r="467" spans="1:8" ht="15" customHeight="1">
      <c r="A467" s="41"/>
      <c r="B467" s="339"/>
      <c r="C467" s="340"/>
      <c r="D467" s="292"/>
      <c r="E467" s="53">
        <f>SUM(E469:E473)</f>
        <v>13.369</v>
      </c>
      <c r="F467" s="98"/>
      <c r="G467" s="99"/>
      <c r="H467" s="110"/>
    </row>
    <row r="468" spans="1:18" ht="15" customHeight="1">
      <c r="A468" s="41" t="s">
        <v>5</v>
      </c>
      <c r="B468" s="320" t="s">
        <v>17</v>
      </c>
      <c r="C468" s="320"/>
      <c r="D468" s="290" t="s">
        <v>18</v>
      </c>
      <c r="E468" s="41" t="s">
        <v>7</v>
      </c>
      <c r="F468" s="98"/>
      <c r="G468" s="99" t="str">
        <f>CONCATENATE("Cable Scrap, Lying at ",B469,". Quantity in MT - ")</f>
        <v>Cable Scrap, Lying at CS Bathinda. Quantity in MT - </v>
      </c>
      <c r="H468" s="319" t="str">
        <f ca="1">CONCATENATE(G468,G469,(INDIRECT(I469)),(INDIRECT(J469)),(INDIRECT(K469)),(INDIRECT(L469)),(INDIRECT(M469)),(INDIRECT(N469)),(INDIRECT(O469)),(INDIRECT(P469)),(INDIRECT(Q469)),(INDIRECT(R469)),".")</f>
        <v>Cable Scrap, Lying at CS Bathinda. Quantity in MT - 2/core PVC Alumn. Cable scrap - 0.347, 4/core PVC Alumn. Cable scrap - 2.086, 1/ core XLPE Alu cable scrap - 0.143, 3/ core XLPE Alu cable scrap - 5.469, ABC cable scrap (70/95 mm) - 5.324, .</v>
      </c>
      <c r="I468" s="106" t="str">
        <f aca="true" ca="1" t="array" ref="I468">CELL("address",INDEX(G468:G493,MATCH(TRUE,ISBLANK(G468:G493),0)))</f>
        <v>$G$474</v>
      </c>
      <c r="J468" s="106">
        <f aca="true" t="array" ref="J468">MATCH(TRUE,ISBLANK(G468:G493),0)</f>
        <v>7</v>
      </c>
      <c r="K468" s="106">
        <f>J468-3</f>
        <v>4</v>
      </c>
      <c r="L468" s="106"/>
      <c r="M468" s="106"/>
      <c r="N468" s="106"/>
      <c r="O468" s="106"/>
      <c r="P468" s="106"/>
      <c r="Q468" s="106"/>
      <c r="R468" s="106"/>
    </row>
    <row r="469" spans="1:18" ht="15" customHeight="1">
      <c r="A469" s="320" t="s">
        <v>96</v>
      </c>
      <c r="B469" s="320" t="s">
        <v>63</v>
      </c>
      <c r="C469" s="320"/>
      <c r="D469" s="35" t="s">
        <v>90</v>
      </c>
      <c r="E469" s="293">
        <v>0.347</v>
      </c>
      <c r="F469" s="98">
        <v>0.3</v>
      </c>
      <c r="G469" s="98" t="str">
        <f>CONCATENATE(D469," - ",E469,", ")</f>
        <v>2/core PVC Alumn. Cable scrap - 0.347, </v>
      </c>
      <c r="H469" s="319"/>
      <c r="I469" s="106" t="str">
        <f ca="1">IF(J468&gt;=3,(MID(I468,2,1)&amp;MID(I468,4,3)-K468),CELL("address",Z469))</f>
        <v>G470</v>
      </c>
      <c r="J469" s="106" t="str">
        <f ca="1">IF(J468&gt;=4,(MID(I469,1,1)&amp;MID(I469,2,3)+1),CELL("address",AA469))</f>
        <v>G471</v>
      </c>
      <c r="K469" s="106" t="str">
        <f ca="1">IF(J468&gt;=5,(MID(J469,1,1)&amp;MID(J469,2,3)+1),CELL("address",AB469))</f>
        <v>G472</v>
      </c>
      <c r="L469" s="106" t="str">
        <f ca="1">IF(J468&gt;=6,(MID(K469,1,1)&amp;MID(K469,2,3)+1),CELL("address",AC469))</f>
        <v>G473</v>
      </c>
      <c r="M469" s="106" t="str">
        <f ca="1">IF(J468&gt;=7,(MID(L469,1,1)&amp;MID(L469,2,3)+1),CELL("address",AD469))</f>
        <v>G474</v>
      </c>
      <c r="N469" s="106" t="str">
        <f ca="1">IF(J468&gt;=8,(MID(M469,1,1)&amp;MID(M469,2,3)+1),CELL("address",AE469))</f>
        <v>$AE$469</v>
      </c>
      <c r="O469" s="106" t="str">
        <f ca="1">IF(J468&gt;=9,(MID(N469,1,1)&amp;MID(N469,2,3)+1),CELL("address",AF469))</f>
        <v>$AF$469</v>
      </c>
      <c r="P469" s="106" t="str">
        <f ca="1">IF(J468&gt;=10,(MID(O469,1,1)&amp;MID(O469,2,3)+1),CELL("address",AG469))</f>
        <v>$AG$469</v>
      </c>
      <c r="Q469" s="106" t="str">
        <f ca="1">IF(J468&gt;=11,(MID(P469,1,1)&amp;MID(P469,2,3)+1),CELL("address",AH469))</f>
        <v>$AH$469</v>
      </c>
      <c r="R469" s="106" t="str">
        <f ca="1">IF(J468&gt;=12,(MID(Q469,1,1)&amp;MID(Q469,2,3)+1),CELL("address",AI469))</f>
        <v>$AI$469</v>
      </c>
    </row>
    <row r="470" spans="1:8" ht="15" customHeight="1">
      <c r="A470" s="320"/>
      <c r="B470" s="320"/>
      <c r="C470" s="320"/>
      <c r="D470" s="35" t="s">
        <v>91</v>
      </c>
      <c r="E470" s="293">
        <v>2.086</v>
      </c>
      <c r="F470" s="98">
        <v>1.722</v>
      </c>
      <c r="G470" s="98" t="str">
        <f>CONCATENATE(D470," - ",E470,", ")</f>
        <v>4/core PVC Alumn. Cable scrap - 2.086, </v>
      </c>
      <c r="H470" s="110"/>
    </row>
    <row r="471" spans="1:8" ht="15" customHeight="1">
      <c r="A471" s="320"/>
      <c r="B471" s="320"/>
      <c r="C471" s="320"/>
      <c r="D471" s="46" t="s">
        <v>97</v>
      </c>
      <c r="E471" s="48">
        <v>0.143</v>
      </c>
      <c r="F471" s="98"/>
      <c r="G471" s="98" t="str">
        <f>CONCATENATE(D471," - ",E471,", ")</f>
        <v>1/ core XLPE Alu cable scrap - 0.143, </v>
      </c>
      <c r="H471" s="110"/>
    </row>
    <row r="472" spans="1:8" ht="15" customHeight="1">
      <c r="A472" s="320"/>
      <c r="B472" s="320"/>
      <c r="C472" s="320"/>
      <c r="D472" s="35" t="s">
        <v>92</v>
      </c>
      <c r="E472" s="78">
        <v>5.469</v>
      </c>
      <c r="F472" s="98">
        <v>4.831</v>
      </c>
      <c r="G472" s="98" t="str">
        <f>CONCATENATE(D472," - ",E472,", ")</f>
        <v>3/ core XLPE Alu cable scrap - 5.469, </v>
      </c>
      <c r="H472" s="110"/>
    </row>
    <row r="473" spans="1:8" ht="15" customHeight="1">
      <c r="A473" s="320"/>
      <c r="B473" s="320"/>
      <c r="C473" s="320"/>
      <c r="D473" s="35" t="s">
        <v>168</v>
      </c>
      <c r="E473" s="78">
        <v>5.324</v>
      </c>
      <c r="F473" s="98">
        <v>4.934</v>
      </c>
      <c r="G473" s="98" t="str">
        <f>CONCATENATE(D473," - ",E473,", ")</f>
        <v>ABC cable scrap (70/95 mm) - 5.324, </v>
      </c>
      <c r="H473" s="110"/>
    </row>
    <row r="474" spans="1:8" ht="15" customHeight="1">
      <c r="A474" s="40"/>
      <c r="B474" s="42"/>
      <c r="C474" s="43"/>
      <c r="D474" s="77"/>
      <c r="E474" s="78"/>
      <c r="F474" s="98"/>
      <c r="G474" s="98"/>
      <c r="H474" s="110"/>
    </row>
    <row r="475" spans="1:8" ht="15" customHeight="1">
      <c r="A475" s="40"/>
      <c r="B475" s="301"/>
      <c r="C475" s="302"/>
      <c r="D475" s="304"/>
      <c r="E475" s="277">
        <f>SUM(E477:E480)</f>
        <v>4.52</v>
      </c>
      <c r="F475" s="98"/>
      <c r="G475" s="98"/>
      <c r="H475" s="110"/>
    </row>
    <row r="476" spans="1:18" ht="15" customHeight="1">
      <c r="A476" s="41" t="s">
        <v>5</v>
      </c>
      <c r="B476" s="322" t="s">
        <v>17</v>
      </c>
      <c r="C476" s="323"/>
      <c r="D476" s="294" t="s">
        <v>18</v>
      </c>
      <c r="E476" s="40" t="s">
        <v>7</v>
      </c>
      <c r="F476" s="98"/>
      <c r="G476" s="99" t="str">
        <f>CONCATENATE("Cable Scrap, Lying at ",B477,". Quantity in MT - ")</f>
        <v>Cable Scrap, Lying at OL Mansa. Quantity in MT - </v>
      </c>
      <c r="H476" s="319" t="str">
        <f ca="1">CONCATENATE(G476,G477,(INDIRECT(I477)),(INDIRECT(J477)),(INDIRECT(K477)),(INDIRECT(L477)),(INDIRECT(M477)),(INDIRECT(N477)),(INDIRECT(O477)),(INDIRECT(P477)),(INDIRECT(Q477)),(INDIRECT(R477)),".")</f>
        <v>Cable Scrap, Lying at OL Mansa. Quantity in MT - 2/core PVC Alumn. Cable scrap - 0.667, 4/core PVC Alumn. Cable scrap - 1.882, 3/ core XLPE Alu cable scrap - 1.881, ABC cable scrap (70/95 mm) - 0.09, .</v>
      </c>
      <c r="I476" s="106" t="str">
        <f aca="true" ca="1" t="array" ref="I476">CELL("address",INDEX(G476:G500,MATCH(TRUE,ISBLANK(G476:G500),0)))</f>
        <v>$G$481</v>
      </c>
      <c r="J476" s="106">
        <f aca="true" t="array" ref="J476">MATCH(TRUE,ISBLANK(G476:G500),0)</f>
        <v>6</v>
      </c>
      <c r="K476" s="106">
        <f>J476-3</f>
        <v>3</v>
      </c>
      <c r="L476" s="106"/>
      <c r="M476" s="106"/>
      <c r="N476" s="106"/>
      <c r="O476" s="106"/>
      <c r="P476" s="106"/>
      <c r="Q476" s="106"/>
      <c r="R476" s="106"/>
    </row>
    <row r="477" spans="1:18" ht="15" customHeight="1">
      <c r="A477" s="320" t="s">
        <v>189</v>
      </c>
      <c r="B477" s="320" t="s">
        <v>59</v>
      </c>
      <c r="C477" s="320"/>
      <c r="D477" s="35" t="s">
        <v>90</v>
      </c>
      <c r="E477" s="298">
        <v>0.667</v>
      </c>
      <c r="F477" s="98">
        <v>0.487</v>
      </c>
      <c r="G477" s="98" t="str">
        <f>CONCATENATE(D477," - ",E477,", ")</f>
        <v>2/core PVC Alumn. Cable scrap - 0.667, </v>
      </c>
      <c r="H477" s="319"/>
      <c r="I477" s="106" t="str">
        <f ca="1">IF(J476&gt;=3,(MID(I476,2,1)&amp;MID(I476,4,3)-K476),CELL("address",Z477))</f>
        <v>G478</v>
      </c>
      <c r="J477" s="106" t="str">
        <f ca="1">IF(J476&gt;=4,(MID(I477,1,1)&amp;MID(I477,2,3)+1),CELL("address",AA477))</f>
        <v>G479</v>
      </c>
      <c r="K477" s="106" t="str">
        <f ca="1">IF(J476&gt;=5,(MID(J477,1,1)&amp;MID(J477,2,3)+1),CELL("address",AB477))</f>
        <v>G480</v>
      </c>
      <c r="L477" s="106" t="str">
        <f ca="1">IF(J476&gt;=6,(MID(K477,1,1)&amp;MID(K477,2,3)+1),CELL("address",AC477))</f>
        <v>G481</v>
      </c>
      <c r="M477" s="106" t="str">
        <f ca="1">IF(J476&gt;=7,(MID(L477,1,1)&amp;MID(L477,2,3)+1),CELL("address",AD477))</f>
        <v>$AD$477</v>
      </c>
      <c r="N477" s="106" t="str">
        <f ca="1">IF(J476&gt;=8,(MID(M477,1,1)&amp;MID(M477,2,3)+1),CELL("address",AE477))</f>
        <v>$AE$477</v>
      </c>
      <c r="O477" s="106" t="str">
        <f ca="1">IF(J476&gt;=9,(MID(N477,1,1)&amp;MID(N477,2,3)+1),CELL("address",AF477))</f>
        <v>$AF$477</v>
      </c>
      <c r="P477" s="106" t="str">
        <f ca="1">IF(J476&gt;=10,(MID(O477,1,1)&amp;MID(O477,2,3)+1),CELL("address",AG477))</f>
        <v>$AG$477</v>
      </c>
      <c r="Q477" s="106" t="str">
        <f ca="1">IF(J476&gt;=11,(MID(P477,1,1)&amp;MID(P477,2,3)+1),CELL("address",AH477))</f>
        <v>$AH$477</v>
      </c>
      <c r="R477" s="106" t="str">
        <f ca="1">IF(J476&gt;=12,(MID(Q477,1,1)&amp;MID(Q477,2,3)+1),CELL("address",AI477))</f>
        <v>$AI$477</v>
      </c>
    </row>
    <row r="478" spans="1:8" ht="15" customHeight="1">
      <c r="A478" s="320"/>
      <c r="B478" s="320"/>
      <c r="C478" s="320"/>
      <c r="D478" s="35" t="s">
        <v>91</v>
      </c>
      <c r="E478" s="298">
        <v>1.882</v>
      </c>
      <c r="F478" s="98">
        <v>1.528</v>
      </c>
      <c r="G478" s="98" t="str">
        <f>CONCATENATE(D478," - ",E478,", ")</f>
        <v>4/core PVC Alumn. Cable scrap - 1.882, </v>
      </c>
      <c r="H478" s="110"/>
    </row>
    <row r="479" spans="1:8" ht="15" customHeight="1">
      <c r="A479" s="320"/>
      <c r="B479" s="320"/>
      <c r="C479" s="320"/>
      <c r="D479" s="35" t="s">
        <v>92</v>
      </c>
      <c r="E479" s="298">
        <v>1.881</v>
      </c>
      <c r="F479" s="98">
        <v>1.386</v>
      </c>
      <c r="G479" s="98" t="str">
        <f>CONCATENATE(D479," - ",E479,", ")</f>
        <v>3/ core XLPE Alu cable scrap - 1.881, </v>
      </c>
      <c r="H479" s="110"/>
    </row>
    <row r="480" spans="1:8" ht="15" customHeight="1">
      <c r="A480" s="320"/>
      <c r="B480" s="320"/>
      <c r="C480" s="320"/>
      <c r="D480" s="46" t="s">
        <v>168</v>
      </c>
      <c r="E480" s="278">
        <v>0.09</v>
      </c>
      <c r="F480" s="98"/>
      <c r="G480" s="98" t="str">
        <f>CONCATENATE(D480," - ",E480,", ")</f>
        <v>ABC cable scrap (70/95 mm) - 0.09, </v>
      </c>
      <c r="H480" s="110"/>
    </row>
    <row r="481" spans="1:8" ht="15" customHeight="1">
      <c r="A481" s="40"/>
      <c r="B481" s="42"/>
      <c r="C481" s="43"/>
      <c r="D481" s="77"/>
      <c r="E481" s="279"/>
      <c r="F481" s="98"/>
      <c r="G481" s="98"/>
      <c r="H481" s="110"/>
    </row>
    <row r="482" spans="1:8" ht="15" customHeight="1">
      <c r="A482" s="40"/>
      <c r="B482" s="301"/>
      <c r="C482" s="302"/>
      <c r="D482" s="304"/>
      <c r="E482" s="277">
        <f>SUM(E484:E487)</f>
        <v>8.555</v>
      </c>
      <c r="F482" s="98"/>
      <c r="G482" s="98"/>
      <c r="H482" s="110"/>
    </row>
    <row r="483" spans="1:18" ht="15" customHeight="1">
      <c r="A483" s="41" t="s">
        <v>5</v>
      </c>
      <c r="B483" s="322" t="s">
        <v>17</v>
      </c>
      <c r="C483" s="323"/>
      <c r="D483" s="294" t="s">
        <v>18</v>
      </c>
      <c r="E483" s="40" t="s">
        <v>7</v>
      </c>
      <c r="F483" s="98"/>
      <c r="G483" s="99" t="str">
        <f>CONCATENATE("Cable Scrap, Lying at ",B484,". Quantity in MT - ")</f>
        <v>Cable Scrap, Lying at CS Kotkapura. Quantity in MT - </v>
      </c>
      <c r="H483" s="319" t="str">
        <f ca="1">CONCATENATE(G483,G484,(INDIRECT(I484)),(INDIRECT(J484)),(INDIRECT(K484)),(INDIRECT(L484)),(INDIRECT(M484)),(INDIRECT(N484)),(INDIRECT(O484)),(INDIRECT(P484)),(INDIRECT(Q484)),(INDIRECT(R484)),".")</f>
        <v>Cable Scrap, Lying at CS Kotkapura. Quantity in MT - 2/core PVC Alumn. Cable scrap - 1.324, 4/core PVC Alumn. Cable scrap - 2.291, 3/ core XLPE Alu cable scrap - 4.879, 1/ core XLPE Alu cable scrap - 0.061, .</v>
      </c>
      <c r="I483" s="106" t="str">
        <f aca="true" ca="1" t="array" ref="I483">CELL("address",INDEX(G483:G508,MATCH(TRUE,ISBLANK(G483:G508),0)))</f>
        <v>$G$488</v>
      </c>
      <c r="J483" s="106">
        <f aca="true" t="array" ref="J483">MATCH(TRUE,ISBLANK(G483:G508),0)</f>
        <v>6</v>
      </c>
      <c r="K483" s="106">
        <f>J483-3</f>
        <v>3</v>
      </c>
      <c r="L483" s="106"/>
      <c r="M483" s="106"/>
      <c r="N483" s="106"/>
      <c r="O483" s="106"/>
      <c r="P483" s="106"/>
      <c r="Q483" s="106"/>
      <c r="R483" s="106"/>
    </row>
    <row r="484" spans="1:18" ht="15" customHeight="1">
      <c r="A484" s="320" t="s">
        <v>191</v>
      </c>
      <c r="B484" s="320" t="s">
        <v>43</v>
      </c>
      <c r="C484" s="320"/>
      <c r="D484" s="35" t="s">
        <v>90</v>
      </c>
      <c r="E484" s="298">
        <v>1.324</v>
      </c>
      <c r="F484" s="98">
        <v>1.264</v>
      </c>
      <c r="G484" s="98" t="str">
        <f>CONCATENATE(D484," - ",E484,", ")</f>
        <v>2/core PVC Alumn. Cable scrap - 1.324, </v>
      </c>
      <c r="H484" s="319"/>
      <c r="I484" s="106" t="str">
        <f ca="1">IF(J483&gt;=3,(MID(I483,2,1)&amp;MID(I483,4,3)-K483),CELL("address",Z484))</f>
        <v>G485</v>
      </c>
      <c r="J484" s="106" t="str">
        <f ca="1">IF(J483&gt;=4,(MID(I484,1,1)&amp;MID(I484,2,3)+1),CELL("address",AA484))</f>
        <v>G486</v>
      </c>
      <c r="K484" s="106" t="str">
        <f ca="1">IF(J483&gt;=5,(MID(J484,1,1)&amp;MID(J484,2,3)+1),CELL("address",AB484))</f>
        <v>G487</v>
      </c>
      <c r="L484" s="106" t="str">
        <f ca="1">IF(J483&gt;=6,(MID(K484,1,1)&amp;MID(K484,2,3)+1),CELL("address",AC484))</f>
        <v>G488</v>
      </c>
      <c r="M484" s="106" t="str">
        <f ca="1">IF(J483&gt;=7,(MID(L484,1,1)&amp;MID(L484,2,3)+1),CELL("address",AD484))</f>
        <v>$AD$484</v>
      </c>
      <c r="N484" s="106" t="str">
        <f ca="1">IF(J483&gt;=8,(MID(M484,1,1)&amp;MID(M484,2,3)+1),CELL("address",AE484))</f>
        <v>$AE$484</v>
      </c>
      <c r="O484" s="106" t="str">
        <f ca="1">IF(J483&gt;=9,(MID(N484,1,1)&amp;MID(N484,2,3)+1),CELL("address",AF484))</f>
        <v>$AF$484</v>
      </c>
      <c r="P484" s="106" t="str">
        <f ca="1">IF(J483&gt;=10,(MID(O484,1,1)&amp;MID(O484,2,3)+1),CELL("address",AG484))</f>
        <v>$AG$484</v>
      </c>
      <c r="Q484" s="106" t="str">
        <f ca="1">IF(J483&gt;=11,(MID(P484,1,1)&amp;MID(P484,2,3)+1),CELL("address",AH484))</f>
        <v>$AH$484</v>
      </c>
      <c r="R484" s="106" t="str">
        <f ca="1">IF(J483&gt;=12,(MID(Q484,1,1)&amp;MID(Q484,2,3)+1),CELL("address",AI484))</f>
        <v>$AI$484</v>
      </c>
    </row>
    <row r="485" spans="1:8" ht="15" customHeight="1">
      <c r="A485" s="320"/>
      <c r="B485" s="320"/>
      <c r="C485" s="320"/>
      <c r="D485" s="35" t="s">
        <v>91</v>
      </c>
      <c r="E485" s="298">
        <v>2.291</v>
      </c>
      <c r="F485" s="98">
        <v>1.906</v>
      </c>
      <c r="G485" s="98" t="str">
        <f>CONCATENATE(D485," - ",E485,", ")</f>
        <v>4/core PVC Alumn. Cable scrap - 2.291, </v>
      </c>
      <c r="H485" s="110"/>
    </row>
    <row r="486" spans="1:8" ht="15" customHeight="1">
      <c r="A486" s="320"/>
      <c r="B486" s="320"/>
      <c r="C486" s="320"/>
      <c r="D486" s="35" t="s">
        <v>92</v>
      </c>
      <c r="E486" s="247">
        <v>4.879</v>
      </c>
      <c r="F486" s="98">
        <v>1.979</v>
      </c>
      <c r="G486" s="98" t="str">
        <f>CONCATENATE(D486," - ",E486,", ")</f>
        <v>3/ core XLPE Alu cable scrap - 4.879, </v>
      </c>
      <c r="H486" s="110"/>
    </row>
    <row r="487" spans="1:8" ht="15" customHeight="1">
      <c r="A487" s="320"/>
      <c r="B487" s="320"/>
      <c r="C487" s="320"/>
      <c r="D487" s="46" t="s">
        <v>97</v>
      </c>
      <c r="E487" s="135">
        <v>0.061</v>
      </c>
      <c r="F487" s="98"/>
      <c r="G487" s="98" t="str">
        <f>CONCATENATE(D487," - ",E487,", ")</f>
        <v>1/ core XLPE Alu cable scrap - 0.061, </v>
      </c>
      <c r="H487" s="110"/>
    </row>
    <row r="488" spans="1:8" ht="15" customHeight="1">
      <c r="A488" s="40"/>
      <c r="B488" s="42"/>
      <c r="C488" s="43"/>
      <c r="D488" s="35"/>
      <c r="E488" s="247"/>
      <c r="F488" s="98"/>
      <c r="G488" s="98"/>
      <c r="H488" s="110"/>
    </row>
    <row r="489" spans="1:8" ht="15" customHeight="1">
      <c r="A489" s="40"/>
      <c r="B489" s="301"/>
      <c r="C489" s="302"/>
      <c r="D489" s="304"/>
      <c r="E489" s="277">
        <f>SUM(E491:E494)</f>
        <v>4.02</v>
      </c>
      <c r="F489" s="98"/>
      <c r="G489" s="98"/>
      <c r="H489" s="110"/>
    </row>
    <row r="490" spans="1:18" ht="15" customHeight="1">
      <c r="A490" s="41" t="s">
        <v>5</v>
      </c>
      <c r="B490" s="322" t="s">
        <v>17</v>
      </c>
      <c r="C490" s="323"/>
      <c r="D490" s="294" t="s">
        <v>18</v>
      </c>
      <c r="E490" s="40" t="s">
        <v>7</v>
      </c>
      <c r="F490" s="98"/>
      <c r="G490" s="99" t="str">
        <f>CONCATENATE("Cable Scrap, Lying at ",B491,". Quantity in MT - ")</f>
        <v>Cable Scrap, Lying at OL Patran. Quantity in MT - </v>
      </c>
      <c r="H490" s="319" t="str">
        <f ca="1">CONCATENATE(G490,G491,(INDIRECT(I491)),(INDIRECT(J491)),(INDIRECT(K491)),(INDIRECT(L491)),(INDIRECT(M491)),(INDIRECT(N491)),(INDIRECT(O491)),(INDIRECT(P491)),(INDIRECT(Q491)),(INDIRECT(R491)),".")</f>
        <v>Cable Scrap, Lying at OL Patran. Quantity in MT - 2/core PVC Alumn. Cable scrap - 0.647, 4/core PVC Alumn. Cable scrap - 1.2, 3/ core XLPE Alu cable scrap - 1.908, ABC cable scrap (150 mm) - 0.265, .</v>
      </c>
      <c r="I490" s="106" t="str">
        <f aca="true" ca="1" t="array" ref="I490">CELL("address",INDEX(G490:G514,MATCH(TRUE,ISBLANK(G490:G514),0)))</f>
        <v>$G$495</v>
      </c>
      <c r="J490" s="106">
        <f aca="true" t="array" ref="J490">MATCH(TRUE,ISBLANK(G490:G514),0)</f>
        <v>6</v>
      </c>
      <c r="K490" s="106">
        <f>J490-3</f>
        <v>3</v>
      </c>
      <c r="L490" s="106"/>
      <c r="M490" s="106"/>
      <c r="N490" s="106"/>
      <c r="O490" s="106"/>
      <c r="P490" s="106"/>
      <c r="Q490" s="106"/>
      <c r="R490" s="106"/>
    </row>
    <row r="491" spans="1:18" ht="15" customHeight="1">
      <c r="A491" s="320" t="s">
        <v>167</v>
      </c>
      <c r="B491" s="320" t="s">
        <v>102</v>
      </c>
      <c r="C491" s="320"/>
      <c r="D491" s="35" t="s">
        <v>90</v>
      </c>
      <c r="E491" s="298">
        <v>0.647</v>
      </c>
      <c r="F491" s="98">
        <v>0.515</v>
      </c>
      <c r="G491" s="98" t="str">
        <f>CONCATENATE(D491," - ",E491,", ")</f>
        <v>2/core PVC Alumn. Cable scrap - 0.647, </v>
      </c>
      <c r="H491" s="319"/>
      <c r="I491" s="106" t="str">
        <f ca="1">IF(J490&gt;=3,(MID(I490,2,1)&amp;MID(I490,4,3)-K490),CELL("address",Z491))</f>
        <v>G492</v>
      </c>
      <c r="J491" s="106" t="str">
        <f ca="1">IF(J490&gt;=4,(MID(I491,1,1)&amp;MID(I491,2,3)+1),CELL("address",AA491))</f>
        <v>G493</v>
      </c>
      <c r="K491" s="106" t="str">
        <f ca="1">IF(J490&gt;=5,(MID(J491,1,1)&amp;MID(J491,2,3)+1),CELL("address",AB491))</f>
        <v>G494</v>
      </c>
      <c r="L491" s="106" t="str">
        <f ca="1">IF(J490&gt;=6,(MID(K491,1,1)&amp;MID(K491,2,3)+1),CELL("address",AC491))</f>
        <v>G495</v>
      </c>
      <c r="M491" s="106" t="str">
        <f ca="1">IF(J490&gt;=7,(MID(L491,1,1)&amp;MID(L491,2,3)+1),CELL("address",AD491))</f>
        <v>$AD$491</v>
      </c>
      <c r="N491" s="106" t="str">
        <f ca="1">IF(J490&gt;=8,(MID(M491,1,1)&amp;MID(M491,2,3)+1),CELL("address",AE491))</f>
        <v>$AE$491</v>
      </c>
      <c r="O491" s="106" t="str">
        <f ca="1">IF(J490&gt;=9,(MID(N491,1,1)&amp;MID(N491,2,3)+1),CELL("address",AF491))</f>
        <v>$AF$491</v>
      </c>
      <c r="P491" s="106" t="str">
        <f ca="1">IF(J490&gt;=10,(MID(O491,1,1)&amp;MID(O491,2,3)+1),CELL("address",AG491))</f>
        <v>$AG$491</v>
      </c>
      <c r="Q491" s="106" t="str">
        <f ca="1">IF(J490&gt;=11,(MID(P491,1,1)&amp;MID(P491,2,3)+1),CELL("address",AH491))</f>
        <v>$AH$491</v>
      </c>
      <c r="R491" s="106" t="str">
        <f ca="1">IF(J490&gt;=12,(MID(Q491,1,1)&amp;MID(Q491,2,3)+1),CELL("address",AI491))</f>
        <v>$AI$491</v>
      </c>
    </row>
    <row r="492" spans="1:8" ht="15" customHeight="1">
      <c r="A492" s="320"/>
      <c r="B492" s="320"/>
      <c r="C492" s="320"/>
      <c r="D492" s="35" t="s">
        <v>91</v>
      </c>
      <c r="E492" s="298">
        <v>1.2</v>
      </c>
      <c r="F492" s="98">
        <v>0.912</v>
      </c>
      <c r="G492" s="98" t="str">
        <f>CONCATENATE(D492," - ",E492,", ")</f>
        <v>4/core PVC Alumn. Cable scrap - 1.2, </v>
      </c>
      <c r="H492" s="111"/>
    </row>
    <row r="493" spans="1:8" ht="15" customHeight="1">
      <c r="A493" s="320"/>
      <c r="B493" s="320"/>
      <c r="C493" s="320"/>
      <c r="D493" s="35" t="s">
        <v>92</v>
      </c>
      <c r="E493" s="298">
        <v>1.908</v>
      </c>
      <c r="F493" s="98">
        <v>1.693</v>
      </c>
      <c r="G493" s="98" t="str">
        <f>CONCATENATE(D493," - ",E493,", ")</f>
        <v>3/ core XLPE Alu cable scrap - 1.908, </v>
      </c>
      <c r="H493" s="110"/>
    </row>
    <row r="494" spans="1:8" ht="15" customHeight="1">
      <c r="A494" s="320"/>
      <c r="B494" s="320"/>
      <c r="C494" s="320"/>
      <c r="D494" s="46" t="s">
        <v>248</v>
      </c>
      <c r="E494" s="70">
        <v>0.265</v>
      </c>
      <c r="F494" s="98"/>
      <c r="G494" s="98" t="str">
        <f>CONCATENATE(D494," - ",E494,", ")</f>
        <v>ABC cable scrap (150 mm) - 0.265, </v>
      </c>
      <c r="H494" s="110"/>
    </row>
    <row r="495" spans="1:8" ht="15" customHeight="1">
      <c r="A495" s="40"/>
      <c r="B495" s="42"/>
      <c r="C495" s="43"/>
      <c r="D495" s="35"/>
      <c r="E495" s="247"/>
      <c r="F495" s="98"/>
      <c r="G495" s="98"/>
      <c r="H495" s="110"/>
    </row>
    <row r="496" spans="1:8" ht="15" customHeight="1">
      <c r="A496" s="40"/>
      <c r="B496" s="49"/>
      <c r="C496" s="295"/>
      <c r="D496" s="292"/>
      <c r="E496" s="280">
        <f>SUM(E498:E502)</f>
        <v>2.2390000000000003</v>
      </c>
      <c r="F496" s="98"/>
      <c r="G496" s="99"/>
      <c r="H496" s="110"/>
    </row>
    <row r="497" spans="1:18" ht="15" customHeight="1">
      <c r="A497" s="41" t="s">
        <v>5</v>
      </c>
      <c r="B497" s="322" t="s">
        <v>17</v>
      </c>
      <c r="C497" s="323"/>
      <c r="D497" s="294" t="s">
        <v>18</v>
      </c>
      <c r="E497" s="40" t="s">
        <v>7</v>
      </c>
      <c r="F497" s="98"/>
      <c r="G497" s="99" t="str">
        <f>CONCATENATE("Cable Scrap, Lying at ",B498,". Quantity in MT - ")</f>
        <v>Cable Scrap, Lying at OL Ropar. Quantity in MT - </v>
      </c>
      <c r="H497" s="319" t="str">
        <f ca="1">CONCATENATE(G497,G498,(INDIRECT(I498)),(INDIRECT(J498)),(INDIRECT(K498)),(INDIRECT(L498)),(INDIRECT(M498)),(INDIRECT(N498)),(INDIRECT(O498)),(INDIRECT(P498)),(INDIRECT(Q498)),(INDIRECT(R498)),".")</f>
        <v>Cable Scrap, Lying at OL Ropar. Quantity in MT - 2/core PVC Alumn. Cable scrap - 0.364, 4/core PVC Alumn. Cable scrap - 0.406, 3/ core XLPE Alu cable scrap - 1.425, 1/core PVC Alumn. Cable scrap - 0.017, Alu.  seals scrap with lash wire - 0.027, .</v>
      </c>
      <c r="I497" s="106" t="str">
        <f aca="true" ca="1" t="array" ref="I497">CELL("address",INDEX(G497:G521,MATCH(TRUE,ISBLANK(G497:G521),0)))</f>
        <v>$G$503</v>
      </c>
      <c r="J497" s="106">
        <f aca="true" t="array" ref="J497">MATCH(TRUE,ISBLANK(G497:G521),0)</f>
        <v>7</v>
      </c>
      <c r="K497" s="106">
        <f>J497-3</f>
        <v>4</v>
      </c>
      <c r="L497" s="106"/>
      <c r="M497" s="106"/>
      <c r="N497" s="106"/>
      <c r="O497" s="106"/>
      <c r="P497" s="106"/>
      <c r="Q497" s="106"/>
      <c r="R497" s="106"/>
    </row>
    <row r="498" spans="1:18" ht="15" customHeight="1">
      <c r="A498" s="320" t="s">
        <v>169</v>
      </c>
      <c r="B498" s="320" t="s">
        <v>98</v>
      </c>
      <c r="C498" s="320"/>
      <c r="D498" s="46" t="s">
        <v>90</v>
      </c>
      <c r="E498" s="135">
        <v>0.364</v>
      </c>
      <c r="F498" s="98"/>
      <c r="G498" s="98" t="str">
        <f>CONCATENATE(D498," - ",E498,", ")</f>
        <v>2/core PVC Alumn. Cable scrap - 0.364, </v>
      </c>
      <c r="H498" s="319"/>
      <c r="I498" s="106" t="str">
        <f ca="1">IF(J497&gt;=3,(MID(I497,2,1)&amp;MID(I497,4,3)-K497),CELL("address",Z498))</f>
        <v>G499</v>
      </c>
      <c r="J498" s="106" t="str">
        <f ca="1">IF(J497&gt;=4,(MID(I498,1,1)&amp;MID(I498,2,3)+1),CELL("address",AA498))</f>
        <v>G500</v>
      </c>
      <c r="K498" s="106" t="str">
        <f ca="1">IF(J497&gt;=5,(MID(J498,1,1)&amp;MID(J498,2,3)+1),CELL("address",AB498))</f>
        <v>G501</v>
      </c>
      <c r="L498" s="106" t="str">
        <f ca="1">IF(J497&gt;=6,(MID(K498,1,1)&amp;MID(K498,2,3)+1),CELL("address",AC498))</f>
        <v>G502</v>
      </c>
      <c r="M498" s="106" t="str">
        <f ca="1">IF(J497&gt;=7,(MID(L498,1,1)&amp;MID(L498,2,3)+1),CELL("address",AD498))</f>
        <v>G503</v>
      </c>
      <c r="N498" s="106" t="str">
        <f ca="1">IF(J497&gt;=8,(MID(M498,1,1)&amp;MID(M498,2,3)+1),CELL("address",AE498))</f>
        <v>$AE$498</v>
      </c>
      <c r="O498" s="106" t="str">
        <f ca="1">IF(J497&gt;=9,(MID(N498,1,1)&amp;MID(N498,2,3)+1),CELL("address",AF498))</f>
        <v>$AF$498</v>
      </c>
      <c r="P498" s="106" t="str">
        <f ca="1">IF(J497&gt;=10,(MID(O498,1,1)&amp;MID(O498,2,3)+1),CELL("address",AG498))</f>
        <v>$AG$498</v>
      </c>
      <c r="Q498" s="106" t="str">
        <f ca="1">IF(J497&gt;=11,(MID(P498,1,1)&amp;MID(P498,2,3)+1),CELL("address",AH498))</f>
        <v>$AH$498</v>
      </c>
      <c r="R498" s="106" t="str">
        <f ca="1">IF(J497&gt;=12,(MID(Q498,1,1)&amp;MID(Q498,2,3)+1),CELL("address",AI498))</f>
        <v>$AI$498</v>
      </c>
    </row>
    <row r="499" spans="1:8" ht="15" customHeight="1">
      <c r="A499" s="320"/>
      <c r="B499" s="320"/>
      <c r="C499" s="320"/>
      <c r="D499" s="46" t="s">
        <v>91</v>
      </c>
      <c r="E499" s="135">
        <v>0.406</v>
      </c>
      <c r="F499" s="98"/>
      <c r="G499" s="98" t="str">
        <f>CONCATENATE(D499," - ",E499,", ")</f>
        <v>4/core PVC Alumn. Cable scrap - 0.406, </v>
      </c>
      <c r="H499" s="110"/>
    </row>
    <row r="500" spans="1:8" ht="15" customHeight="1">
      <c r="A500" s="320"/>
      <c r="B500" s="320"/>
      <c r="C500" s="320"/>
      <c r="D500" s="46" t="s">
        <v>92</v>
      </c>
      <c r="E500" s="135">
        <v>1.425</v>
      </c>
      <c r="F500" s="98"/>
      <c r="G500" s="98" t="str">
        <f>CONCATENATE(D500," - ",E500,", ")</f>
        <v>3/ core XLPE Alu cable scrap - 1.425, </v>
      </c>
      <c r="H500" s="110"/>
    </row>
    <row r="501" spans="1:8" ht="15" customHeight="1">
      <c r="A501" s="320"/>
      <c r="B501" s="320"/>
      <c r="C501" s="320"/>
      <c r="D501" s="46" t="s">
        <v>171</v>
      </c>
      <c r="E501" s="135">
        <v>0.017</v>
      </c>
      <c r="F501" s="98"/>
      <c r="G501" s="98" t="str">
        <f>CONCATENATE(D501," - ",E501,", ")</f>
        <v>1/core PVC Alumn. Cable scrap - 0.017, </v>
      </c>
      <c r="H501" s="110"/>
    </row>
    <row r="502" spans="1:8" ht="15" customHeight="1">
      <c r="A502" s="320"/>
      <c r="B502" s="320"/>
      <c r="C502" s="320"/>
      <c r="D502" s="46" t="s">
        <v>340</v>
      </c>
      <c r="E502" s="135">
        <v>0.027</v>
      </c>
      <c r="F502" s="98"/>
      <c r="G502" s="98" t="str">
        <f>CONCATENATE(D502," - ",E502,", ")</f>
        <v>Alu.  seals scrap with lash wire - 0.027, </v>
      </c>
      <c r="H502" s="110"/>
    </row>
    <row r="503" spans="1:8" ht="15" customHeight="1">
      <c r="A503" s="40"/>
      <c r="B503" s="42"/>
      <c r="C503" s="43"/>
      <c r="D503" s="35"/>
      <c r="E503" s="247"/>
      <c r="F503" s="98"/>
      <c r="G503" s="98"/>
      <c r="H503" s="110"/>
    </row>
    <row r="504" spans="1:8" ht="15" customHeight="1">
      <c r="A504" s="40"/>
      <c r="B504" s="49"/>
      <c r="C504" s="295"/>
      <c r="D504" s="292"/>
      <c r="E504" s="280">
        <f>SUM(E506:E508)</f>
        <v>7.553</v>
      </c>
      <c r="F504" s="98"/>
      <c r="G504" s="98"/>
      <c r="H504" s="110"/>
    </row>
    <row r="505" spans="1:18" ht="15" customHeight="1">
      <c r="A505" s="41" t="s">
        <v>5</v>
      </c>
      <c r="B505" s="322" t="s">
        <v>17</v>
      </c>
      <c r="C505" s="323"/>
      <c r="D505" s="294" t="s">
        <v>18</v>
      </c>
      <c r="E505" s="40" t="s">
        <v>7</v>
      </c>
      <c r="F505" s="98"/>
      <c r="G505" s="99" t="str">
        <f>CONCATENATE("Cable Scrap, Lying at ",B506,". Quantity in MT - ")</f>
        <v>Cable Scrap, Lying at CS Malout. Quantity in MT - </v>
      </c>
      <c r="H505" s="319" t="str">
        <f ca="1">CONCATENATE(G505,G506,(INDIRECT(I506)),(INDIRECT(J506)),(INDIRECT(K506)),(INDIRECT(L506)),(INDIRECT(M506)),(INDIRECT(N506)),(INDIRECT(O506)),(INDIRECT(P506)),(INDIRECT(Q506)),(INDIRECT(R506)),".")</f>
        <v>Cable Scrap, Lying at CS Malout. Quantity in MT - 2/core PVC Alumn. Cable scrap - 1.32, 4/core PVC Alumn. Cable scrap - 1.595, 3/ core XLPE Alu cable scrap - 4.638, .</v>
      </c>
      <c r="I505" s="106" t="str">
        <f aca="true" ca="1" t="array" ref="I505">CELL("address",INDEX(G505:G528,MATCH(TRUE,ISBLANK(G505:G528),0)))</f>
        <v>$G$509</v>
      </c>
      <c r="J505" s="106">
        <f aca="true" t="array" ref="J505">MATCH(TRUE,ISBLANK(G505:G528),0)</f>
        <v>5</v>
      </c>
      <c r="K505" s="106">
        <f>J505-3</f>
        <v>2</v>
      </c>
      <c r="L505" s="106"/>
      <c r="M505" s="106"/>
      <c r="N505" s="106"/>
      <c r="O505" s="106"/>
      <c r="P505" s="106"/>
      <c r="Q505" s="106"/>
      <c r="R505" s="106"/>
    </row>
    <row r="506" spans="1:18" ht="15" customHeight="1">
      <c r="A506" s="320" t="s">
        <v>170</v>
      </c>
      <c r="B506" s="320" t="s">
        <v>95</v>
      </c>
      <c r="C506" s="320"/>
      <c r="D506" s="35" t="s">
        <v>90</v>
      </c>
      <c r="E506" s="247">
        <v>1.32</v>
      </c>
      <c r="F506" s="98">
        <v>1.19</v>
      </c>
      <c r="G506" s="98" t="str">
        <f>CONCATENATE(D506," - ",E506,", ")</f>
        <v>2/core PVC Alumn. Cable scrap - 1.32, </v>
      </c>
      <c r="H506" s="319"/>
      <c r="I506" s="106" t="str">
        <f ca="1">IF(J505&gt;=3,(MID(I505,2,1)&amp;MID(I505,4,3)-K505),CELL("address",Z506))</f>
        <v>G507</v>
      </c>
      <c r="J506" s="106" t="str">
        <f ca="1">IF(J505&gt;=4,(MID(I506,1,1)&amp;MID(I506,2,3)+1),CELL("address",AA506))</f>
        <v>G508</v>
      </c>
      <c r="K506" s="106" t="str">
        <f ca="1">IF(J505&gt;=5,(MID(J506,1,1)&amp;MID(J506,2,3)+1),CELL("address",AB506))</f>
        <v>G509</v>
      </c>
      <c r="L506" s="106" t="str">
        <f ca="1">IF(J505&gt;=6,(MID(K506,1,1)&amp;MID(K506,2,3)+1),CELL("address",AC506))</f>
        <v>$AC$506</v>
      </c>
      <c r="M506" s="106" t="str">
        <f ca="1">IF(J505&gt;=7,(MID(L506,1,1)&amp;MID(L506,2,3)+1),CELL("address",AD506))</f>
        <v>$AD$506</v>
      </c>
      <c r="N506" s="106" t="str">
        <f ca="1">IF(J505&gt;=8,(MID(M506,1,1)&amp;MID(M506,2,3)+1),CELL("address",AE506))</f>
        <v>$AE$506</v>
      </c>
      <c r="O506" s="106" t="str">
        <f ca="1">IF(J505&gt;=9,(MID(N506,1,1)&amp;MID(N506,2,3)+1),CELL("address",AF506))</f>
        <v>$AF$506</v>
      </c>
      <c r="P506" s="106" t="str">
        <f ca="1">IF(J505&gt;=10,(MID(O506,1,1)&amp;MID(O506,2,3)+1),CELL("address",AG506))</f>
        <v>$AG$506</v>
      </c>
      <c r="Q506" s="106" t="str">
        <f ca="1">IF(J505&gt;=11,(MID(P506,1,1)&amp;MID(P506,2,3)+1),CELL("address",AH506))</f>
        <v>$AH$506</v>
      </c>
      <c r="R506" s="106" t="str">
        <f ca="1">IF(J505&gt;=12,(MID(Q506,1,1)&amp;MID(Q506,2,3)+1),CELL("address",AI506))</f>
        <v>$AI$506</v>
      </c>
    </row>
    <row r="507" spans="1:8" ht="15" customHeight="1">
      <c r="A507" s="320"/>
      <c r="B507" s="320"/>
      <c r="C507" s="320"/>
      <c r="D507" s="35" t="s">
        <v>91</v>
      </c>
      <c r="E507" s="247">
        <v>1.595</v>
      </c>
      <c r="F507" s="98">
        <v>1.351</v>
      </c>
      <c r="G507" s="98" t="str">
        <f>CONCATENATE(D507," - ",E507,", ")</f>
        <v>4/core PVC Alumn. Cable scrap - 1.595, </v>
      </c>
      <c r="H507" s="111"/>
    </row>
    <row r="508" spans="1:8" ht="15" customHeight="1">
      <c r="A508" s="320"/>
      <c r="B508" s="320"/>
      <c r="C508" s="320"/>
      <c r="D508" s="35" t="s">
        <v>92</v>
      </c>
      <c r="E508" s="247">
        <v>4.638</v>
      </c>
      <c r="F508" s="98">
        <v>4.535</v>
      </c>
      <c r="G508" s="98" t="str">
        <f>CONCATENATE(D508," - ",E508,", ")</f>
        <v>3/ core XLPE Alu cable scrap - 4.638, </v>
      </c>
      <c r="H508" s="110"/>
    </row>
    <row r="509" spans="1:8" ht="15" customHeight="1">
      <c r="A509" s="40"/>
      <c r="B509" s="42"/>
      <c r="C509" s="43"/>
      <c r="D509" s="46"/>
      <c r="E509" s="135"/>
      <c r="F509" s="98"/>
      <c r="G509" s="98"/>
      <c r="H509" s="110"/>
    </row>
    <row r="510" spans="1:8" ht="15" customHeight="1">
      <c r="A510" s="40"/>
      <c r="B510" s="49"/>
      <c r="C510" s="295"/>
      <c r="D510" s="292"/>
      <c r="E510" s="280">
        <f>SUM(E512:E515)</f>
        <v>2.9930000000000003</v>
      </c>
      <c r="F510" s="98"/>
      <c r="G510" s="98"/>
      <c r="H510" s="110"/>
    </row>
    <row r="511" spans="1:18" ht="15" customHeight="1">
      <c r="A511" s="41" t="s">
        <v>5</v>
      </c>
      <c r="B511" s="322" t="s">
        <v>17</v>
      </c>
      <c r="C511" s="323"/>
      <c r="D511" s="294" t="s">
        <v>18</v>
      </c>
      <c r="E511" s="40" t="s">
        <v>7</v>
      </c>
      <c r="F511" s="98"/>
      <c r="G511" s="99" t="str">
        <f>CONCATENATE("Cable Scrap, Lying at ",B512,". Quantity in MT - ")</f>
        <v>Cable Scrap, Lying at OL Nabha. Quantity in MT - </v>
      </c>
      <c r="H511" s="319" t="str">
        <f ca="1">CONCATENATE(G511,G512,(INDIRECT(I512)),(INDIRECT(J512)),(INDIRECT(K512)),(INDIRECT(L512)),(INDIRECT(M512)),(INDIRECT(N512)),(INDIRECT(O512)),(INDIRECT(P512)),(INDIRECT(Q512)),(INDIRECT(R512)),".")</f>
        <v>Cable Scrap, Lying at OL Nabha. Quantity in MT - 2/core PVC Alumn. Cable scrap - 1.07, 4/core PVC Alumn. Cable scrap - 0.736, 3/ core XLPE Alu cable scrap - 1.147, ABC cable scrap (70/95 mm) - 0.04, .</v>
      </c>
      <c r="I511" s="106" t="str">
        <f aca="true" ca="1" t="array" ref="I511">CELL("address",INDEX(G511:G534,MATCH(TRUE,ISBLANK(G511:G534),0)))</f>
        <v>$G$516</v>
      </c>
      <c r="J511" s="106">
        <f aca="true" t="array" ref="J511">MATCH(TRUE,ISBLANK(G511:G534),0)</f>
        <v>6</v>
      </c>
      <c r="K511" s="106">
        <f>J511-3</f>
        <v>3</v>
      </c>
      <c r="L511" s="106"/>
      <c r="M511" s="106"/>
      <c r="N511" s="106"/>
      <c r="O511" s="106"/>
      <c r="P511" s="106"/>
      <c r="Q511" s="106"/>
      <c r="R511" s="106"/>
    </row>
    <row r="512" spans="1:18" ht="15" customHeight="1">
      <c r="A512" s="320" t="s">
        <v>172</v>
      </c>
      <c r="B512" s="320" t="s">
        <v>104</v>
      </c>
      <c r="C512" s="320"/>
      <c r="D512" s="46" t="s">
        <v>90</v>
      </c>
      <c r="E512" s="135">
        <v>1.07</v>
      </c>
      <c r="F512" s="98"/>
      <c r="G512" s="98" t="str">
        <f>CONCATENATE(D512," - ",E512,", ")</f>
        <v>2/core PVC Alumn. Cable scrap - 1.07, </v>
      </c>
      <c r="H512" s="319"/>
      <c r="I512" s="106" t="str">
        <f ca="1">IF(J511&gt;=3,(MID(I511,2,1)&amp;MID(I511,4,3)-K511),CELL("address",Z512))</f>
        <v>G513</v>
      </c>
      <c r="J512" s="106" t="str">
        <f ca="1">IF(J511&gt;=4,(MID(I512,1,1)&amp;MID(I512,2,3)+1),CELL("address",AA512))</f>
        <v>G514</v>
      </c>
      <c r="K512" s="106" t="str">
        <f ca="1">IF(J511&gt;=5,(MID(J512,1,1)&amp;MID(J512,2,3)+1),CELL("address",AB512))</f>
        <v>G515</v>
      </c>
      <c r="L512" s="106" t="str">
        <f ca="1">IF(J511&gt;=6,(MID(K512,1,1)&amp;MID(K512,2,3)+1),CELL("address",AC512))</f>
        <v>G516</v>
      </c>
      <c r="M512" s="106" t="str">
        <f ca="1">IF(J511&gt;=7,(MID(L512,1,1)&amp;MID(L512,2,3)+1),CELL("address",AD512))</f>
        <v>$AD$512</v>
      </c>
      <c r="N512" s="106" t="str">
        <f ca="1">IF(J511&gt;=8,(MID(M512,1,1)&amp;MID(M512,2,3)+1),CELL("address",AE512))</f>
        <v>$AE$512</v>
      </c>
      <c r="O512" s="106" t="str">
        <f ca="1">IF(J511&gt;=9,(MID(N512,1,1)&amp;MID(N512,2,3)+1),CELL("address",AF512))</f>
        <v>$AF$512</v>
      </c>
      <c r="P512" s="106" t="str">
        <f ca="1">IF(J511&gt;=10,(MID(O512,1,1)&amp;MID(O512,2,3)+1),CELL("address",AG512))</f>
        <v>$AG$512</v>
      </c>
      <c r="Q512" s="106" t="str">
        <f ca="1">IF(J511&gt;=11,(MID(P512,1,1)&amp;MID(P512,2,3)+1),CELL("address",AH512))</f>
        <v>$AH$512</v>
      </c>
      <c r="R512" s="106" t="str">
        <f ca="1">IF(J511&gt;=12,(MID(Q512,1,1)&amp;MID(Q512,2,3)+1),CELL("address",AI512))</f>
        <v>$AI$512</v>
      </c>
    </row>
    <row r="513" spans="1:8" ht="15" customHeight="1">
      <c r="A513" s="320"/>
      <c r="B513" s="320"/>
      <c r="C513" s="320"/>
      <c r="D513" s="46" t="s">
        <v>91</v>
      </c>
      <c r="E513" s="135">
        <v>0.736</v>
      </c>
      <c r="F513" s="98"/>
      <c r="G513" s="98" t="str">
        <f>CONCATENATE(D513," - ",E513,", ")</f>
        <v>4/core PVC Alumn. Cable scrap - 0.736, </v>
      </c>
      <c r="H513" s="110"/>
    </row>
    <row r="514" spans="1:8" ht="15" customHeight="1">
      <c r="A514" s="320"/>
      <c r="B514" s="320"/>
      <c r="C514" s="320"/>
      <c r="D514" s="46" t="s">
        <v>92</v>
      </c>
      <c r="E514" s="135">
        <v>1.147</v>
      </c>
      <c r="F514" s="98"/>
      <c r="G514" s="98" t="str">
        <f>CONCATENATE(D514," - ",E514,", ")</f>
        <v>3/ core XLPE Alu cable scrap - 1.147, </v>
      </c>
      <c r="H514" s="110"/>
    </row>
    <row r="515" spans="1:8" ht="15" customHeight="1">
      <c r="A515" s="320"/>
      <c r="B515" s="320"/>
      <c r="C515" s="320"/>
      <c r="D515" s="46" t="s">
        <v>168</v>
      </c>
      <c r="E515" s="135">
        <v>0.04</v>
      </c>
      <c r="F515" s="98"/>
      <c r="G515" s="98" t="str">
        <f>CONCATENATE(D515," - ",E515,", ")</f>
        <v>ABC cable scrap (70/95 mm) - 0.04, </v>
      </c>
      <c r="H515" s="110"/>
    </row>
    <row r="516" spans="1:8" ht="15" customHeight="1">
      <c r="A516" s="40"/>
      <c r="B516" s="42"/>
      <c r="C516" s="43"/>
      <c r="D516" s="35"/>
      <c r="E516" s="247"/>
      <c r="F516" s="98"/>
      <c r="G516" s="98"/>
      <c r="H516" s="110"/>
    </row>
    <row r="517" spans="1:8" ht="15" customHeight="1">
      <c r="A517" s="40"/>
      <c r="B517" s="301"/>
      <c r="C517" s="302"/>
      <c r="D517" s="304"/>
      <c r="E517" s="277">
        <f>SUM(E519:E523)</f>
        <v>11.424</v>
      </c>
      <c r="F517" s="98"/>
      <c r="G517" s="98"/>
      <c r="H517" s="110"/>
    </row>
    <row r="518" spans="1:18" ht="15" customHeight="1">
      <c r="A518" s="41" t="s">
        <v>5</v>
      </c>
      <c r="B518" s="322" t="s">
        <v>17</v>
      </c>
      <c r="C518" s="323"/>
      <c r="D518" s="294" t="s">
        <v>18</v>
      </c>
      <c r="E518" s="40" t="s">
        <v>7</v>
      </c>
      <c r="F518" s="98"/>
      <c r="G518" s="99" t="str">
        <f>CONCATENATE("Cable Scrap, Lying at ",B519,". Quantity in MT - ")</f>
        <v>Cable Scrap, Lying at CS Patiala. Quantity in MT - </v>
      </c>
      <c r="H518" s="319" t="str">
        <f ca="1">CONCATENATE(G518,G519,(INDIRECT(I519)),(INDIRECT(J519)),(INDIRECT(K519)),(INDIRECT(L519)),(INDIRECT(M519)),(INDIRECT(N519)),(INDIRECT(O519)),(INDIRECT(P519)),(INDIRECT(Q519)),(INDIRECT(R519)),".")</f>
        <v>Cable Scrap, Lying at CS Patiala. Quantity in MT - 1/core PVC Alumn. Cable scrap - 0.301, 2/core PVC Alumn. Cable scrap - 1.07, 4/core PVC Alumn. Cable scrap - 2.823, 3/ core XLPE Alu cable scrap - 2.007, ABC cable scrap (150 mm) - 5.223, .</v>
      </c>
      <c r="I518" s="106" t="str">
        <f aca="true" ca="1" t="array" ref="I518">CELL("address",INDEX(G518:G542,MATCH(TRUE,ISBLANK(G518:G542),0)))</f>
        <v>$G$524</v>
      </c>
      <c r="J518" s="106">
        <f aca="true" t="array" ref="J518">MATCH(TRUE,ISBLANK(G518:G542),0)</f>
        <v>7</v>
      </c>
      <c r="K518" s="106">
        <f>J518-3</f>
        <v>4</v>
      </c>
      <c r="L518" s="106"/>
      <c r="M518" s="106"/>
      <c r="N518" s="106"/>
      <c r="O518" s="106"/>
      <c r="P518" s="106"/>
      <c r="Q518" s="106"/>
      <c r="R518" s="106"/>
    </row>
    <row r="519" spans="1:18" ht="15" customHeight="1">
      <c r="A519" s="320" t="s">
        <v>173</v>
      </c>
      <c r="B519" s="320" t="s">
        <v>52</v>
      </c>
      <c r="C519" s="320"/>
      <c r="D519" s="46" t="s">
        <v>171</v>
      </c>
      <c r="E519" s="40">
        <v>0.301</v>
      </c>
      <c r="F519" s="98"/>
      <c r="G519" s="98" t="str">
        <f>CONCATENATE(D519," - ",E519,", ")</f>
        <v>1/core PVC Alumn. Cable scrap - 0.301, </v>
      </c>
      <c r="H519" s="319"/>
      <c r="I519" s="106" t="str">
        <f ca="1">IF(J518&gt;=3,(MID(I518,2,1)&amp;MID(I518,4,3)-K518),CELL("address",Z519))</f>
        <v>G520</v>
      </c>
      <c r="J519" s="106" t="str">
        <f ca="1">IF(J518&gt;=4,(MID(I519,1,1)&amp;MID(I519,2,3)+1),CELL("address",AA519))</f>
        <v>G521</v>
      </c>
      <c r="K519" s="106" t="str">
        <f ca="1">IF(J518&gt;=5,(MID(J519,1,1)&amp;MID(J519,2,3)+1),CELL("address",AB519))</f>
        <v>G522</v>
      </c>
      <c r="L519" s="106" t="str">
        <f ca="1">IF(J518&gt;=6,(MID(K519,1,1)&amp;MID(K519,2,3)+1),CELL("address",AC519))</f>
        <v>G523</v>
      </c>
      <c r="M519" s="106" t="str">
        <f ca="1">IF(J518&gt;=7,(MID(L519,1,1)&amp;MID(L519,2,3)+1),CELL("address",AD519))</f>
        <v>G524</v>
      </c>
      <c r="N519" s="106" t="str">
        <f ca="1">IF(J518&gt;=8,(MID(M519,1,1)&amp;MID(M519,2,3)+1),CELL("address",AE519))</f>
        <v>$AE$519</v>
      </c>
      <c r="O519" s="106" t="str">
        <f ca="1">IF(J518&gt;=9,(MID(N519,1,1)&amp;MID(N519,2,3)+1),CELL("address",AF519))</f>
        <v>$AF$519</v>
      </c>
      <c r="P519" s="106" t="str">
        <f ca="1">IF(J518&gt;=10,(MID(O519,1,1)&amp;MID(O519,2,3)+1),CELL("address",AG519))</f>
        <v>$AG$519</v>
      </c>
      <c r="Q519" s="106" t="str">
        <f ca="1">IF(J518&gt;=11,(MID(P519,1,1)&amp;MID(P519,2,3)+1),CELL("address",AH519))</f>
        <v>$AH$519</v>
      </c>
      <c r="R519" s="106" t="str">
        <f ca="1">IF(J518&gt;=12,(MID(Q519,1,1)&amp;MID(Q519,2,3)+1),CELL("address",AI519))</f>
        <v>$AI$519</v>
      </c>
    </row>
    <row r="520" spans="1:8" ht="15" customHeight="1">
      <c r="A520" s="320"/>
      <c r="B520" s="320"/>
      <c r="C520" s="320"/>
      <c r="D520" s="46" t="s">
        <v>90</v>
      </c>
      <c r="E520" s="70">
        <v>1.07</v>
      </c>
      <c r="F520" s="98"/>
      <c r="G520" s="98" t="str">
        <f>CONCATENATE(D520," - ",E520,", ")</f>
        <v>2/core PVC Alumn. Cable scrap - 1.07, </v>
      </c>
      <c r="H520" s="110"/>
    </row>
    <row r="521" spans="1:8" ht="15" customHeight="1">
      <c r="A521" s="320"/>
      <c r="B521" s="320"/>
      <c r="C521" s="320"/>
      <c r="D521" s="46" t="s">
        <v>91</v>
      </c>
      <c r="E521" s="70">
        <v>2.823</v>
      </c>
      <c r="F521" s="98"/>
      <c r="G521" s="98" t="str">
        <f>CONCATENATE(D521," - ",E521,", ")</f>
        <v>4/core PVC Alumn. Cable scrap - 2.823, </v>
      </c>
      <c r="H521" s="110"/>
    </row>
    <row r="522" spans="1:8" ht="15" customHeight="1">
      <c r="A522" s="320"/>
      <c r="B522" s="320"/>
      <c r="C522" s="320"/>
      <c r="D522" s="46" t="s">
        <v>92</v>
      </c>
      <c r="E522" s="281">
        <v>2.007</v>
      </c>
      <c r="F522" s="98"/>
      <c r="G522" s="98" t="str">
        <f>CONCATENATE(D522," - ",E522,", ")</f>
        <v>3/ core XLPE Alu cable scrap - 2.007, </v>
      </c>
      <c r="H522" s="110"/>
    </row>
    <row r="523" spans="1:8" ht="15" customHeight="1">
      <c r="A523" s="320"/>
      <c r="B523" s="320"/>
      <c r="C523" s="320"/>
      <c r="D523" s="46" t="s">
        <v>248</v>
      </c>
      <c r="E523" s="281">
        <v>5.223</v>
      </c>
      <c r="F523" s="98"/>
      <c r="G523" s="98" t="str">
        <f>CONCATENATE(D523," - ",E523,", ")</f>
        <v>ABC cable scrap (150 mm) - 5.223, </v>
      </c>
      <c r="H523" s="110"/>
    </row>
    <row r="524" spans="1:8" ht="15" customHeight="1">
      <c r="A524" s="40"/>
      <c r="B524" s="42"/>
      <c r="C524" s="43"/>
      <c r="D524" s="35"/>
      <c r="E524" s="247"/>
      <c r="F524" s="98"/>
      <c r="G524" s="98"/>
      <c r="H524" s="110"/>
    </row>
    <row r="525" spans="1:8" ht="15" customHeight="1">
      <c r="A525" s="36"/>
      <c r="E525" s="169">
        <f>SUM(E527:E530)</f>
        <v>1.25</v>
      </c>
      <c r="F525" s="98"/>
      <c r="G525" s="98"/>
      <c r="H525" s="165"/>
    </row>
    <row r="526" spans="1:18" ht="15" customHeight="1">
      <c r="A526" s="41" t="s">
        <v>5</v>
      </c>
      <c r="B526" s="322" t="s">
        <v>17</v>
      </c>
      <c r="C526" s="323"/>
      <c r="D526" s="294" t="s">
        <v>18</v>
      </c>
      <c r="E526" s="40" t="s">
        <v>7</v>
      </c>
      <c r="F526" s="98"/>
      <c r="G526" s="99" t="str">
        <f>CONCATENATE("Cable Scrap, Lying at ",B527,". Quantity in MT - ")</f>
        <v>Cable Scrap, Lying at OL Rajpura. Quantity in MT - </v>
      </c>
      <c r="H526" s="319" t="str">
        <f ca="1">CONCATENATE(G526,G527,(INDIRECT(I527)),(INDIRECT(J527)),(INDIRECT(K527)),(INDIRECT(L527)),(INDIRECT(M527)),(INDIRECT(N527)),(INDIRECT(O527)),(INDIRECT(P527)),(INDIRECT(Q527)),(INDIRECT(R527)),".")</f>
        <v>Cable Scrap, Lying at OL Rajpura. Quantity in MT - 2/core PVC Alumn. Cable scrap - 0.176, 4/core PVC Alumn. Cable scrap - 0.376, 3/ core XLPE Alu cable scrap - 0.139, ABC cable scrap (70/95 mm) - 0.559, .</v>
      </c>
      <c r="I526" s="106" t="str">
        <f aca="true" ca="1" t="array" ref="I526">CELL("address",INDEX(G526:G577,MATCH(TRUE,ISBLANK(G526:G577),0)))</f>
        <v>$G$531</v>
      </c>
      <c r="J526" s="106">
        <f aca="true" t="array" ref="J526">MATCH(TRUE,ISBLANK(G526:G577),0)</f>
        <v>6</v>
      </c>
      <c r="K526" s="106">
        <f>J526-3</f>
        <v>3</v>
      </c>
      <c r="L526" s="106"/>
      <c r="M526" s="106"/>
      <c r="N526" s="106"/>
      <c r="O526" s="106"/>
      <c r="P526" s="106"/>
      <c r="Q526" s="106"/>
      <c r="R526" s="106"/>
    </row>
    <row r="527" spans="1:18" ht="15" customHeight="1">
      <c r="A527" s="320" t="s">
        <v>174</v>
      </c>
      <c r="B527" s="320" t="s">
        <v>103</v>
      </c>
      <c r="C527" s="320"/>
      <c r="D527" s="46" t="s">
        <v>90</v>
      </c>
      <c r="E527" s="40">
        <v>0.176</v>
      </c>
      <c r="F527" s="98"/>
      <c r="G527" s="98" t="str">
        <f>CONCATENATE(D527," - ",E527,", ")</f>
        <v>2/core PVC Alumn. Cable scrap - 0.176, </v>
      </c>
      <c r="H527" s="319"/>
      <c r="I527" s="106" t="str">
        <f ca="1">IF(J526&gt;=3,(MID(I526,2,1)&amp;MID(I526,4,3)-K526),CELL("address",Z527))</f>
        <v>G528</v>
      </c>
      <c r="J527" s="106" t="str">
        <f ca="1">IF(J526&gt;=4,(MID(I527,1,1)&amp;MID(I527,2,3)+1),CELL("address",AA527))</f>
        <v>G529</v>
      </c>
      <c r="K527" s="106" t="str">
        <f ca="1">IF(J526&gt;=5,(MID(J527,1,1)&amp;MID(J527,2,3)+1),CELL("address",AB527))</f>
        <v>G530</v>
      </c>
      <c r="L527" s="106" t="str">
        <f ca="1">IF(J526&gt;=6,(MID(K527,1,1)&amp;MID(K527,2,3)+1),CELL("address",AC527))</f>
        <v>G531</v>
      </c>
      <c r="M527" s="106" t="str">
        <f ca="1">IF(J526&gt;=7,(MID(L527,1,1)&amp;MID(L527,2,3)+1),CELL("address",AD527))</f>
        <v>$AD$527</v>
      </c>
      <c r="N527" s="106" t="str">
        <f ca="1">IF(J526&gt;=8,(MID(M527,1,1)&amp;MID(M527,2,3)+1),CELL("address",AE527))</f>
        <v>$AE$527</v>
      </c>
      <c r="O527" s="106" t="str">
        <f ca="1">IF(J526&gt;=9,(MID(N527,1,1)&amp;MID(N527,2,3)+1),CELL("address",AF527))</f>
        <v>$AF$527</v>
      </c>
      <c r="P527" s="106" t="str">
        <f ca="1">IF(J526&gt;=10,(MID(O527,1,1)&amp;MID(O527,2,3)+1),CELL("address",AG527))</f>
        <v>$AG$527</v>
      </c>
      <c r="Q527" s="106" t="str">
        <f ca="1">IF(J526&gt;=11,(MID(P527,1,1)&amp;MID(P527,2,3)+1),CELL("address",AH527))</f>
        <v>$AH$527</v>
      </c>
      <c r="R527" s="106" t="str">
        <f ca="1">IF(J526&gt;=12,(MID(Q527,1,1)&amp;MID(Q527,2,3)+1),CELL("address",AI527))</f>
        <v>$AI$527</v>
      </c>
    </row>
    <row r="528" spans="1:8" ht="15" customHeight="1">
      <c r="A528" s="320"/>
      <c r="B528" s="320"/>
      <c r="C528" s="320"/>
      <c r="D528" s="46" t="s">
        <v>91</v>
      </c>
      <c r="E528" s="70">
        <v>0.376</v>
      </c>
      <c r="F528" s="98"/>
      <c r="G528" s="98" t="str">
        <f>CONCATENATE(D528," - ",E528,", ")</f>
        <v>4/core PVC Alumn. Cable scrap - 0.376, </v>
      </c>
      <c r="H528" s="110"/>
    </row>
    <row r="529" spans="1:8" ht="15" customHeight="1">
      <c r="A529" s="320"/>
      <c r="B529" s="320"/>
      <c r="C529" s="320"/>
      <c r="D529" s="46" t="s">
        <v>92</v>
      </c>
      <c r="E529" s="70">
        <v>0.139</v>
      </c>
      <c r="F529" s="98"/>
      <c r="G529" s="98" t="str">
        <f>CONCATENATE(D529," - ",E529,", ")</f>
        <v>3/ core XLPE Alu cable scrap - 0.139, </v>
      </c>
      <c r="H529" s="110"/>
    </row>
    <row r="530" spans="1:8" ht="15" customHeight="1">
      <c r="A530" s="320"/>
      <c r="B530" s="320"/>
      <c r="C530" s="320"/>
      <c r="D530" s="46" t="s">
        <v>168</v>
      </c>
      <c r="E530" s="135">
        <v>0.559</v>
      </c>
      <c r="F530" s="98"/>
      <c r="G530" s="98" t="str">
        <f>CONCATENATE(D530," - ",E530,", ")</f>
        <v>ABC cable scrap (70/95 mm) - 0.559, </v>
      </c>
      <c r="H530" s="110"/>
    </row>
    <row r="531" spans="1:8" ht="15" customHeight="1">
      <c r="A531" s="40"/>
      <c r="B531" s="42"/>
      <c r="C531" s="43"/>
      <c r="D531" s="46"/>
      <c r="E531" s="135"/>
      <c r="F531" s="98"/>
      <c r="G531" s="98"/>
      <c r="H531" s="110"/>
    </row>
    <row r="532" spans="1:8" ht="15" customHeight="1">
      <c r="A532" s="40"/>
      <c r="B532" s="301"/>
      <c r="C532" s="302"/>
      <c r="D532" s="304"/>
      <c r="E532" s="277">
        <f>SUM(E534:E537)</f>
        <v>4.653</v>
      </c>
      <c r="F532" s="98"/>
      <c r="G532" s="98"/>
      <c r="H532" s="110"/>
    </row>
    <row r="533" spans="1:18" ht="15" customHeight="1">
      <c r="A533" s="41" t="s">
        <v>5</v>
      </c>
      <c r="B533" s="322" t="s">
        <v>17</v>
      </c>
      <c r="C533" s="323"/>
      <c r="D533" s="294" t="s">
        <v>18</v>
      </c>
      <c r="E533" s="40" t="s">
        <v>7</v>
      </c>
      <c r="F533" s="98"/>
      <c r="G533" s="99" t="str">
        <f>CONCATENATE("Cable Scrap, Lying at ",B534,". Quantity in MT - ")</f>
        <v>Cable Scrap, Lying at OL Barnala. Quantity in MT - </v>
      </c>
      <c r="H533" s="319" t="str">
        <f ca="1">CONCATENATE(G533,G534,(INDIRECT(I534)),(INDIRECT(J534)),(INDIRECT(K534)),(INDIRECT(L534)),(INDIRECT(M534)),(INDIRECT(N534)),(INDIRECT(O534)),(INDIRECT(P534)),(INDIRECT(Q534)),(INDIRECT(R534)),".")</f>
        <v>Cable Scrap, Lying at OL Barnala. Quantity in MT - 2/core PVC Alumn. Cable scrap - 0.53, 4/core PVC Alumn. Cable scrap - 0.989, 3/ core XLPE Alu cable scrap - 3.116, 1/ core XLPE Alu cable scrap - 0.018, .</v>
      </c>
      <c r="I533" s="106" t="str">
        <f aca="true" ca="1" t="array" ref="I533">CELL("address",INDEX(G533:G584,MATCH(TRUE,ISBLANK(G533:G584),0)))</f>
        <v>$G$538</v>
      </c>
      <c r="J533" s="106">
        <f aca="true" t="array" ref="J533">MATCH(TRUE,ISBLANK(G533:G584),0)</f>
        <v>6</v>
      </c>
      <c r="K533" s="106">
        <f>J533-3</f>
        <v>3</v>
      </c>
      <c r="L533" s="106"/>
      <c r="M533" s="106"/>
      <c r="N533" s="106"/>
      <c r="O533" s="106"/>
      <c r="P533" s="106"/>
      <c r="Q533" s="106"/>
      <c r="R533" s="106"/>
    </row>
    <row r="534" spans="1:18" ht="15" customHeight="1">
      <c r="A534" s="320" t="s">
        <v>245</v>
      </c>
      <c r="B534" s="320" t="s">
        <v>190</v>
      </c>
      <c r="C534" s="320"/>
      <c r="D534" s="35" t="s">
        <v>90</v>
      </c>
      <c r="E534" s="298">
        <v>0.53</v>
      </c>
      <c r="F534" s="98">
        <v>0.488</v>
      </c>
      <c r="G534" s="98" t="str">
        <f>CONCATENATE(D534," - ",E534,", ")</f>
        <v>2/core PVC Alumn. Cable scrap - 0.53, </v>
      </c>
      <c r="H534" s="319"/>
      <c r="I534" s="106" t="str">
        <f ca="1">IF(J533&gt;=3,(MID(I533,2,1)&amp;MID(I533,4,3)-K533),CELL("address",Z534))</f>
        <v>G535</v>
      </c>
      <c r="J534" s="106" t="str">
        <f ca="1">IF(J533&gt;=4,(MID(I534,1,1)&amp;MID(I534,2,3)+1),CELL("address",AA534))</f>
        <v>G536</v>
      </c>
      <c r="K534" s="106" t="str">
        <f ca="1">IF(J533&gt;=5,(MID(J534,1,1)&amp;MID(J534,2,3)+1),CELL("address",AB534))</f>
        <v>G537</v>
      </c>
      <c r="L534" s="106" t="str">
        <f ca="1">IF(J533&gt;=6,(MID(K534,1,1)&amp;MID(K534,2,3)+1),CELL("address",AC534))</f>
        <v>G538</v>
      </c>
      <c r="M534" s="106" t="str">
        <f ca="1">IF(J533&gt;=7,(MID(L534,1,1)&amp;MID(L534,2,3)+1),CELL("address",AD534))</f>
        <v>$AD$534</v>
      </c>
      <c r="N534" s="106" t="str">
        <f ca="1">IF(J533&gt;=8,(MID(M534,1,1)&amp;MID(M534,2,3)+1),CELL("address",AE534))</f>
        <v>$AE$534</v>
      </c>
      <c r="O534" s="106" t="str">
        <f ca="1">IF(J533&gt;=9,(MID(N534,1,1)&amp;MID(N534,2,3)+1),CELL("address",AF534))</f>
        <v>$AF$534</v>
      </c>
      <c r="P534" s="106" t="str">
        <f ca="1">IF(J533&gt;=10,(MID(O534,1,1)&amp;MID(O534,2,3)+1),CELL("address",AG534))</f>
        <v>$AG$534</v>
      </c>
      <c r="Q534" s="106" t="str">
        <f ca="1">IF(J533&gt;=11,(MID(P534,1,1)&amp;MID(P534,2,3)+1),CELL("address",AH534))</f>
        <v>$AH$534</v>
      </c>
      <c r="R534" s="106" t="str">
        <f ca="1">IF(J533&gt;=12,(MID(Q534,1,1)&amp;MID(Q534,2,3)+1),CELL("address",AI534))</f>
        <v>$AI$534</v>
      </c>
    </row>
    <row r="535" spans="1:8" ht="15" customHeight="1">
      <c r="A535" s="320"/>
      <c r="B535" s="320"/>
      <c r="C535" s="320"/>
      <c r="D535" s="35" t="s">
        <v>91</v>
      </c>
      <c r="E535" s="298">
        <v>0.989</v>
      </c>
      <c r="F535" s="98">
        <v>0.928</v>
      </c>
      <c r="G535" s="98" t="str">
        <f>CONCATENATE(D535," - ",E535,", ")</f>
        <v>4/core PVC Alumn. Cable scrap - 0.989, </v>
      </c>
      <c r="H535" s="110"/>
    </row>
    <row r="536" spans="1:8" ht="15" customHeight="1">
      <c r="A536" s="320"/>
      <c r="B536" s="320"/>
      <c r="C536" s="320"/>
      <c r="D536" s="35" t="s">
        <v>92</v>
      </c>
      <c r="E536" s="247">
        <v>3.116</v>
      </c>
      <c r="F536" s="98">
        <v>2.822</v>
      </c>
      <c r="G536" s="98" t="str">
        <f>CONCATENATE(D536," - ",E536,", ")</f>
        <v>3/ core XLPE Alu cable scrap - 3.116, </v>
      </c>
      <c r="H536" s="110"/>
    </row>
    <row r="537" spans="1:8" ht="15" customHeight="1">
      <c r="A537" s="320"/>
      <c r="B537" s="320"/>
      <c r="C537" s="320"/>
      <c r="D537" s="46" t="s">
        <v>97</v>
      </c>
      <c r="E537" s="135">
        <v>0.018</v>
      </c>
      <c r="F537" s="98"/>
      <c r="G537" s="98" t="str">
        <f>CONCATENATE(D537," - ",E537,", ")</f>
        <v>1/ core XLPE Alu cable scrap - 0.018, </v>
      </c>
      <c r="H537" s="110"/>
    </row>
    <row r="538" spans="1:8" ht="15" customHeight="1">
      <c r="A538" s="40"/>
      <c r="B538" s="130"/>
      <c r="C538" s="60"/>
      <c r="D538" s="131"/>
      <c r="E538" s="282"/>
      <c r="F538" s="98"/>
      <c r="G538" s="98"/>
      <c r="H538" s="110"/>
    </row>
    <row r="539" spans="1:8" ht="15" customHeight="1">
      <c r="A539" s="40"/>
      <c r="B539" s="301"/>
      <c r="C539" s="302"/>
      <c r="D539" s="304"/>
      <c r="E539" s="277">
        <f>SUM(E541:E546)</f>
        <v>4.720000000000001</v>
      </c>
      <c r="F539" s="98"/>
      <c r="G539" s="98"/>
      <c r="H539" s="110"/>
    </row>
    <row r="540" spans="1:18" ht="15" customHeight="1">
      <c r="A540" s="71" t="s">
        <v>5</v>
      </c>
      <c r="B540" s="350" t="s">
        <v>17</v>
      </c>
      <c r="C540" s="351"/>
      <c r="D540" s="294" t="s">
        <v>18</v>
      </c>
      <c r="E540" s="40" t="s">
        <v>7</v>
      </c>
      <c r="F540" s="98"/>
      <c r="G540" s="99" t="str">
        <f>CONCATENATE("Cable Scrap, Lying at ",B541,". Quantity in MT - ")</f>
        <v>Cable Scrap, Lying at CS Sangrur. Quantity in MT - </v>
      </c>
      <c r="H540" s="319" t="str">
        <f ca="1">CONCATENATE(G540,G541,(INDIRECT(I541)),(INDIRECT(J541)),(INDIRECT(K541)),(INDIRECT(L541)),(INDIRECT(M541)),(INDIRECT(N541)),(INDIRECT(O541)),(INDIRECT(P541)),(INDIRECT(Q541)),(INDIRECT(R541)),".")</f>
        <v>Cable Scrap, Lying at CS Sangrur. Quantity in MT - 2/core PVC Alumn. Cable scrap - 0.298, 4/core PVC Alumn. Cable scrap - 0.539, 3/ core XLPE Alu cable scrap - 2.437, Lead seal scrap with lash wire - 0.036, ABC cable scrap (70/95 mm) - 1.345, 1/ core XLPE Alu cable scrap - 0.065, .</v>
      </c>
      <c r="I540" s="106" t="str">
        <f aca="true" ca="1" t="array" ref="I540">CELL("address",INDEX(G540:G590,MATCH(TRUE,ISBLANK(G540:G590),0)))</f>
        <v>$G$547</v>
      </c>
      <c r="J540" s="106">
        <f aca="true" t="array" ref="J540">MATCH(TRUE,ISBLANK(G540:G590),0)</f>
        <v>8</v>
      </c>
      <c r="K540" s="106">
        <f>J540-3</f>
        <v>5</v>
      </c>
      <c r="L540" s="106"/>
      <c r="M540" s="106"/>
      <c r="N540" s="106"/>
      <c r="O540" s="106"/>
      <c r="P540" s="106"/>
      <c r="Q540" s="106"/>
      <c r="R540" s="106"/>
    </row>
    <row r="541" spans="1:18" ht="15" customHeight="1">
      <c r="A541" s="320" t="s">
        <v>211</v>
      </c>
      <c r="B541" s="320" t="s">
        <v>79</v>
      </c>
      <c r="C541" s="320"/>
      <c r="D541" s="236" t="s">
        <v>90</v>
      </c>
      <c r="E541" s="298">
        <v>0.298</v>
      </c>
      <c r="F541" s="98">
        <v>0.238</v>
      </c>
      <c r="G541" s="98" t="str">
        <f aca="true" t="shared" si="2" ref="G541:G546">CONCATENATE(D541," - ",E541,", ")</f>
        <v>2/core PVC Alumn. Cable scrap - 0.298, </v>
      </c>
      <c r="H541" s="319"/>
      <c r="I541" s="106" t="str">
        <f ca="1">IF(J540&gt;=3,(MID(I540,2,1)&amp;MID(I540,4,3)-K540),CELL("address",Z541))</f>
        <v>G542</v>
      </c>
      <c r="J541" s="106" t="str">
        <f ca="1">IF(J540&gt;=4,(MID(I541,1,1)&amp;MID(I541,2,3)+1),CELL("address",AA541))</f>
        <v>G543</v>
      </c>
      <c r="K541" s="106" t="str">
        <f ca="1">IF(J540&gt;=5,(MID(J541,1,1)&amp;MID(J541,2,3)+1),CELL("address",AB541))</f>
        <v>G544</v>
      </c>
      <c r="L541" s="106" t="str">
        <f ca="1">IF(J540&gt;=6,(MID(K541,1,1)&amp;MID(K541,2,3)+1),CELL("address",AC541))</f>
        <v>G545</v>
      </c>
      <c r="M541" s="106" t="str">
        <f ca="1">IF(J540&gt;=7,(MID(L541,1,1)&amp;MID(L541,2,3)+1),CELL("address",AD541))</f>
        <v>G546</v>
      </c>
      <c r="N541" s="106" t="str">
        <f ca="1">IF(J540&gt;=8,(MID(M541,1,1)&amp;MID(M541,2,3)+1),CELL("address",AE541))</f>
        <v>G547</v>
      </c>
      <c r="O541" s="106" t="str">
        <f ca="1">IF(J540&gt;=9,(MID(N541,1,1)&amp;MID(N541,2,3)+1),CELL("address",AF541))</f>
        <v>$AF$541</v>
      </c>
      <c r="P541" s="106" t="str">
        <f ca="1">IF(J540&gt;=10,(MID(O541,1,1)&amp;MID(O541,2,3)+1),CELL("address",AG541))</f>
        <v>$AG$541</v>
      </c>
      <c r="Q541" s="106" t="str">
        <f ca="1">IF(J540&gt;=11,(MID(P541,1,1)&amp;MID(P541,2,3)+1),CELL("address",AH541))</f>
        <v>$AH$541</v>
      </c>
      <c r="R541" s="106" t="str">
        <f ca="1">IF(J540&gt;=12,(MID(Q541,1,1)&amp;MID(Q541,2,3)+1),CELL("address",AI541))</f>
        <v>$AI$541</v>
      </c>
    </row>
    <row r="542" spans="1:8" ht="15" customHeight="1">
      <c r="A542" s="320"/>
      <c r="B542" s="320"/>
      <c r="C542" s="320"/>
      <c r="D542" s="236" t="s">
        <v>91</v>
      </c>
      <c r="E542" s="298">
        <v>0.539</v>
      </c>
      <c r="F542" s="98">
        <v>0.401</v>
      </c>
      <c r="G542" s="98" t="str">
        <f t="shared" si="2"/>
        <v>4/core PVC Alumn. Cable scrap - 0.539, </v>
      </c>
      <c r="H542" s="110"/>
    </row>
    <row r="543" spans="1:8" ht="15" customHeight="1">
      <c r="A543" s="320"/>
      <c r="B543" s="320"/>
      <c r="C543" s="320"/>
      <c r="D543" s="236" t="s">
        <v>92</v>
      </c>
      <c r="E543" s="298">
        <v>2.437</v>
      </c>
      <c r="F543" s="98">
        <v>2.212</v>
      </c>
      <c r="G543" s="98" t="str">
        <f t="shared" si="2"/>
        <v>3/ core XLPE Alu cable scrap - 2.437, </v>
      </c>
      <c r="H543" s="110"/>
    </row>
    <row r="544" spans="1:8" ht="15" customHeight="1">
      <c r="A544" s="320"/>
      <c r="B544" s="320"/>
      <c r="C544" s="320"/>
      <c r="D544" s="236" t="s">
        <v>188</v>
      </c>
      <c r="E544" s="131">
        <v>0.036</v>
      </c>
      <c r="F544" s="98">
        <v>0.021</v>
      </c>
      <c r="G544" s="98" t="str">
        <f t="shared" si="2"/>
        <v>Lead seal scrap with lash wire - 0.036, </v>
      </c>
      <c r="H544" s="110"/>
    </row>
    <row r="545" spans="1:8" ht="15" customHeight="1">
      <c r="A545" s="320"/>
      <c r="B545" s="320"/>
      <c r="C545" s="320"/>
      <c r="D545" s="246" t="s">
        <v>168</v>
      </c>
      <c r="E545" s="247">
        <v>1.345</v>
      </c>
      <c r="F545" s="98">
        <v>0.565</v>
      </c>
      <c r="G545" s="98" t="str">
        <f t="shared" si="2"/>
        <v>ABC cable scrap (70/95 mm) - 1.345, </v>
      </c>
      <c r="H545" s="110"/>
    </row>
    <row r="546" spans="1:30" ht="15" customHeight="1">
      <c r="A546" s="320"/>
      <c r="B546" s="320"/>
      <c r="C546" s="320"/>
      <c r="D546" s="82" t="s">
        <v>97</v>
      </c>
      <c r="E546" s="135">
        <v>0.065</v>
      </c>
      <c r="F546" s="98"/>
      <c r="G546" s="98" t="str">
        <f t="shared" si="2"/>
        <v>1/ core XLPE Alu cable scrap - 0.065, </v>
      </c>
      <c r="H546" s="110"/>
      <c r="S546" s="335" t="s">
        <v>474</v>
      </c>
      <c r="T546" s="336"/>
      <c r="U546" s="336"/>
      <c r="V546" s="336"/>
      <c r="W546" s="336"/>
      <c r="X546" s="336"/>
      <c r="Y546" s="336"/>
      <c r="Z546" s="336"/>
      <c r="AA546" s="336"/>
      <c r="AB546" s="336"/>
      <c r="AC546" s="336"/>
      <c r="AD546" s="337"/>
    </row>
    <row r="547" spans="1:8" ht="15" customHeight="1">
      <c r="A547" s="51"/>
      <c r="B547" s="130"/>
      <c r="C547" s="60"/>
      <c r="D547" s="72"/>
      <c r="E547" s="135"/>
      <c r="F547" s="98"/>
      <c r="G547" s="98"/>
      <c r="H547" s="110"/>
    </row>
    <row r="548" spans="1:8" ht="15" customHeight="1">
      <c r="A548" s="40"/>
      <c r="B548" s="301"/>
      <c r="C548" s="302"/>
      <c r="D548" s="304" t="s">
        <v>255</v>
      </c>
      <c r="E548" s="277">
        <f>SUM(E550:E553)</f>
        <v>1.0639999999999998</v>
      </c>
      <c r="F548" s="98"/>
      <c r="G548" s="98"/>
      <c r="H548" s="110"/>
    </row>
    <row r="549" spans="1:18" ht="15" customHeight="1">
      <c r="A549" s="41" t="s">
        <v>5</v>
      </c>
      <c r="B549" s="322" t="s">
        <v>17</v>
      </c>
      <c r="C549" s="323"/>
      <c r="D549" s="294" t="s">
        <v>18</v>
      </c>
      <c r="E549" s="40" t="s">
        <v>7</v>
      </c>
      <c r="F549" s="98"/>
      <c r="G549" s="99" t="str">
        <f>CONCATENATE("Cable Scrap, Lying at ",B550,". Quantity in MT - ")</f>
        <v>Cable Scrap, Lying at CS Mohali. Quantity in MT - </v>
      </c>
      <c r="H549" s="319" t="str">
        <f ca="1">CONCATENATE(G549,G550,(INDIRECT(I550)),(INDIRECT(J550)),(INDIRECT(K550)),(INDIRECT(L550)),(INDIRECT(M550)),(INDIRECT(N550)),(INDIRECT(O550)),(INDIRECT(P550)),(INDIRECT(Q550)),(INDIRECT(R550)),".")</f>
        <v>Cable Scrap, Lying at CS Mohali. Quantity in MT - 4/core PVC Alumn. Cable scrap - 0.649, 3/ core XLPE Alu cable scrap - 0.208, 1/core PVC Alumn. Cable scrap - 0.158, 2/core PVC Alumn. Cable scrap - 0.049, .</v>
      </c>
      <c r="I549" s="106" t="str">
        <f aca="true" ca="1" t="array" ref="I549">CELL("address",INDEX(G549:G594,MATCH(TRUE,ISBLANK(G549:G594),0)))</f>
        <v>$G$554</v>
      </c>
      <c r="J549" s="106">
        <f aca="true" t="array" ref="J549">MATCH(TRUE,ISBLANK(G549:G594),0)</f>
        <v>6</v>
      </c>
      <c r="K549" s="106">
        <f>J549-3</f>
        <v>3</v>
      </c>
      <c r="L549" s="106"/>
      <c r="M549" s="106"/>
      <c r="N549" s="106"/>
      <c r="O549" s="106"/>
      <c r="P549" s="106"/>
      <c r="Q549" s="106"/>
      <c r="R549" s="106"/>
    </row>
    <row r="550" spans="1:18" ht="15" customHeight="1">
      <c r="A550" s="320" t="s">
        <v>253</v>
      </c>
      <c r="B550" s="320" t="s">
        <v>62</v>
      </c>
      <c r="C550" s="320"/>
      <c r="D550" s="46" t="s">
        <v>91</v>
      </c>
      <c r="E550" s="40">
        <v>0.649</v>
      </c>
      <c r="F550" s="98"/>
      <c r="G550" s="98" t="str">
        <f>CONCATENATE(D550," - ",E550,", ")</f>
        <v>4/core PVC Alumn. Cable scrap - 0.649, </v>
      </c>
      <c r="H550" s="319"/>
      <c r="I550" s="106" t="str">
        <f ca="1">IF(J549&gt;=3,(MID(I549,2,1)&amp;MID(I549,4,3)-K549),CELL("address",Z550))</f>
        <v>G551</v>
      </c>
      <c r="J550" s="106" t="str">
        <f ca="1">IF(J549&gt;=4,(MID(I550,1,1)&amp;MID(I550,2,3)+1),CELL("address",AA550))</f>
        <v>G552</v>
      </c>
      <c r="K550" s="106" t="str">
        <f ca="1">IF(J549&gt;=5,(MID(J550,1,1)&amp;MID(J550,2,3)+1),CELL("address",AB550))</f>
        <v>G553</v>
      </c>
      <c r="L550" s="106" t="str">
        <f ca="1">IF(J549&gt;=6,(MID(K550,1,1)&amp;MID(K550,2,3)+1),CELL("address",AC550))</f>
        <v>G554</v>
      </c>
      <c r="M550" s="106" t="str">
        <f ca="1">IF(J549&gt;=7,(MID(L550,1,1)&amp;MID(L550,2,3)+1),CELL("address",AD550))</f>
        <v>$AD$550</v>
      </c>
      <c r="N550" s="106" t="str">
        <f ca="1">IF(J549&gt;=8,(MID(M550,1,1)&amp;MID(M550,2,3)+1),CELL("address",AE550))</f>
        <v>$AE$550</v>
      </c>
      <c r="O550" s="106" t="str">
        <f ca="1">IF(J549&gt;=9,(MID(N550,1,1)&amp;MID(N550,2,3)+1),CELL("address",AF550))</f>
        <v>$AF$550</v>
      </c>
      <c r="P550" s="106" t="str">
        <f ca="1">IF(J549&gt;=10,(MID(O550,1,1)&amp;MID(O550,2,3)+1),CELL("address",AG550))</f>
        <v>$AG$550</v>
      </c>
      <c r="Q550" s="106" t="str">
        <f ca="1">IF(J549&gt;=11,(MID(P550,1,1)&amp;MID(P550,2,3)+1),CELL("address",AH550))</f>
        <v>$AH$550</v>
      </c>
      <c r="R550" s="106" t="str">
        <f ca="1">IF(J549&gt;=12,(MID(Q550,1,1)&amp;MID(Q550,2,3)+1),CELL("address",AI550))</f>
        <v>$AI$550</v>
      </c>
    </row>
    <row r="551" spans="1:8" ht="15" customHeight="1">
      <c r="A551" s="320"/>
      <c r="B551" s="320"/>
      <c r="C551" s="320"/>
      <c r="D551" s="46" t="s">
        <v>92</v>
      </c>
      <c r="E551" s="70">
        <v>0.208</v>
      </c>
      <c r="F551" s="98"/>
      <c r="G551" s="98" t="str">
        <f>CONCATENATE(D551," - ",E551,", ")</f>
        <v>3/ core XLPE Alu cable scrap - 0.208, </v>
      </c>
      <c r="H551" s="110"/>
    </row>
    <row r="552" spans="1:8" ht="15" customHeight="1">
      <c r="A552" s="320"/>
      <c r="B552" s="320"/>
      <c r="C552" s="320"/>
      <c r="D552" s="46" t="s">
        <v>171</v>
      </c>
      <c r="E552" s="70">
        <v>0.158</v>
      </c>
      <c r="F552" s="98"/>
      <c r="G552" s="98" t="str">
        <f>CONCATENATE(D552," - ",E552,", ")</f>
        <v>1/core PVC Alumn. Cable scrap - 0.158, </v>
      </c>
      <c r="H552" s="110"/>
    </row>
    <row r="553" spans="1:8" ht="15" customHeight="1">
      <c r="A553" s="320"/>
      <c r="B553" s="320"/>
      <c r="C553" s="320"/>
      <c r="D553" s="46" t="s">
        <v>90</v>
      </c>
      <c r="E553" s="70">
        <v>0.049</v>
      </c>
      <c r="F553" s="98"/>
      <c r="G553" s="98" t="str">
        <f>CONCATENATE(D553," - ",E553,", ")</f>
        <v>2/core PVC Alumn. Cable scrap - 0.049, </v>
      </c>
      <c r="H553" s="110"/>
    </row>
    <row r="554" spans="1:8" ht="15" customHeight="1">
      <c r="A554" s="52"/>
      <c r="B554" s="55"/>
      <c r="C554" s="105"/>
      <c r="D554" s="35"/>
      <c r="E554" s="298"/>
      <c r="F554" s="98"/>
      <c r="G554" s="98"/>
      <c r="H554" s="110"/>
    </row>
    <row r="555" spans="1:8" ht="15" customHeight="1">
      <c r="A555" s="41"/>
      <c r="B555" s="339"/>
      <c r="C555" s="340"/>
      <c r="D555" s="292"/>
      <c r="E555" s="58">
        <f>SUM(E557:E559)</f>
        <v>1.7309999999999999</v>
      </c>
      <c r="F555" s="98"/>
      <c r="G555" s="98"/>
      <c r="H555" s="110"/>
    </row>
    <row r="556" spans="1:18" ht="15" customHeight="1">
      <c r="A556" s="41" t="s">
        <v>5</v>
      </c>
      <c r="B556" s="320" t="s">
        <v>17</v>
      </c>
      <c r="C556" s="320"/>
      <c r="D556" s="290" t="s">
        <v>18</v>
      </c>
      <c r="E556" s="40" t="s">
        <v>7</v>
      </c>
      <c r="F556" s="98"/>
      <c r="G556" s="99" t="str">
        <f>CONCATENATE("Cable Scrap, Lying at ",B557,". Quantity in MT - ")</f>
        <v>Cable Scrap, Lying at OL Fazilka. Quantity in MT - </v>
      </c>
      <c r="H556" s="319" t="str">
        <f ca="1">CONCATENATE(G556,G557,(INDIRECT(I557)),(INDIRECT(J557)),(INDIRECT(K557)),(INDIRECT(L557)),(INDIRECT(M557)),(INDIRECT(N557)),(INDIRECT(O557)),(INDIRECT(P557)),(INDIRECT(Q557)),(INDIRECT(R557)),".")</f>
        <v>Cable Scrap, Lying at OL Fazilka. Quantity in MT - 2/core PVC Alumn. Cable scrap - 0.106, 4/core PVC Alumn. Cable scrap - 0.471, 3/ core XLPE Alu cable scrap - 1.154, .</v>
      </c>
      <c r="I556" s="106" t="str">
        <f aca="true" ca="1" t="array" ref="I556">CELL("address",INDEX(G556:G600,MATCH(TRUE,ISBLANK(G556:G600),0)))</f>
        <v>$G$560</v>
      </c>
      <c r="J556" s="106">
        <f aca="true" t="array" ref="J556">MATCH(TRUE,ISBLANK(G556:G600),0)</f>
        <v>5</v>
      </c>
      <c r="K556" s="106">
        <f>J556-3</f>
        <v>2</v>
      </c>
      <c r="L556" s="106"/>
      <c r="M556" s="106"/>
      <c r="N556" s="106"/>
      <c r="O556" s="106"/>
      <c r="P556" s="106"/>
      <c r="Q556" s="106"/>
      <c r="R556" s="106"/>
    </row>
    <row r="557" spans="1:18" ht="15" customHeight="1">
      <c r="A557" s="320" t="s">
        <v>254</v>
      </c>
      <c r="B557" s="320" t="s">
        <v>112</v>
      </c>
      <c r="C557" s="320"/>
      <c r="D557" s="35" t="s">
        <v>90</v>
      </c>
      <c r="E557" s="298">
        <v>0.106</v>
      </c>
      <c r="F557" s="98">
        <v>0.078</v>
      </c>
      <c r="G557" s="98" t="str">
        <f>CONCATENATE(D557," - ",E557,", ")</f>
        <v>2/core PVC Alumn. Cable scrap - 0.106, </v>
      </c>
      <c r="H557" s="319"/>
      <c r="I557" s="106" t="str">
        <f ca="1">IF(J556&gt;=3,(MID(I556,2,1)&amp;MID(I556,4,3)-K556),CELL("address",Z557))</f>
        <v>G558</v>
      </c>
      <c r="J557" s="106" t="str">
        <f ca="1">IF(J556&gt;=4,(MID(I557,1,1)&amp;MID(I557,2,3)+1),CELL("address",AA557))</f>
        <v>G559</v>
      </c>
      <c r="K557" s="106" t="str">
        <f ca="1">IF(J556&gt;=5,(MID(J557,1,1)&amp;MID(J557,2,3)+1),CELL("address",AB557))</f>
        <v>G560</v>
      </c>
      <c r="L557" s="106" t="str">
        <f ca="1">IF(J556&gt;=6,(MID(K557,1,1)&amp;MID(K557,2,3)+1),CELL("address",AC557))</f>
        <v>$AC$557</v>
      </c>
      <c r="M557" s="106" t="str">
        <f ca="1">IF(J556&gt;=7,(MID(L557,1,1)&amp;MID(L557,2,3)+1),CELL("address",AD557))</f>
        <v>$AD$557</v>
      </c>
      <c r="N557" s="106" t="str">
        <f ca="1">IF(J556&gt;=8,(MID(M557,1,1)&amp;MID(M557,2,3)+1),CELL("address",AE557))</f>
        <v>$AE$557</v>
      </c>
      <c r="O557" s="106" t="str">
        <f ca="1">IF(J556&gt;=9,(MID(N557,1,1)&amp;MID(N557,2,3)+1),CELL("address",AF557))</f>
        <v>$AF$557</v>
      </c>
      <c r="P557" s="106" t="str">
        <f ca="1">IF(J556&gt;=10,(MID(O557,1,1)&amp;MID(O557,2,3)+1),CELL("address",AG557))</f>
        <v>$AG$557</v>
      </c>
      <c r="Q557" s="106" t="str">
        <f ca="1">IF(J556&gt;=11,(MID(P557,1,1)&amp;MID(P557,2,3)+1),CELL("address",AH557))</f>
        <v>$AH$557</v>
      </c>
      <c r="R557" s="106" t="str">
        <f ca="1">IF(J556&gt;=12,(MID(Q557,1,1)&amp;MID(Q557,2,3)+1),CELL("address",AI557))</f>
        <v>$AI$557</v>
      </c>
    </row>
    <row r="558" spans="1:8" ht="15" customHeight="1">
      <c r="A558" s="320"/>
      <c r="B558" s="320"/>
      <c r="C558" s="320"/>
      <c r="D558" s="35" t="s">
        <v>91</v>
      </c>
      <c r="E558" s="298">
        <v>0.471</v>
      </c>
      <c r="F558" s="98">
        <v>0.371</v>
      </c>
      <c r="G558" s="98" t="str">
        <f>CONCATENATE(D558," - ",E558,", ")</f>
        <v>4/core PVC Alumn. Cable scrap - 0.471, </v>
      </c>
      <c r="H558" s="110"/>
    </row>
    <row r="559" spans="1:8" ht="15" customHeight="1">
      <c r="A559" s="320"/>
      <c r="B559" s="320"/>
      <c r="C559" s="320"/>
      <c r="D559" s="236" t="s">
        <v>92</v>
      </c>
      <c r="E559" s="298">
        <v>1.154</v>
      </c>
      <c r="F559" s="98">
        <v>0.944</v>
      </c>
      <c r="G559" s="98" t="str">
        <f>CONCATENATE(D559," - ",E559,", ")</f>
        <v>3/ core XLPE Alu cable scrap - 1.154, </v>
      </c>
      <c r="H559" s="110"/>
    </row>
    <row r="560" spans="1:8" ht="15" customHeight="1">
      <c r="A560" s="40"/>
      <c r="B560" s="42"/>
      <c r="C560" s="43"/>
      <c r="D560" s="46"/>
      <c r="E560" s="70"/>
      <c r="F560" s="98"/>
      <c r="G560" s="98"/>
      <c r="H560" s="110"/>
    </row>
    <row r="561" spans="1:8" ht="15" customHeight="1">
      <c r="A561" s="51"/>
      <c r="B561" s="301"/>
      <c r="C561" s="302"/>
      <c r="D561" s="81"/>
      <c r="E561" s="283">
        <f>SUM(E563:E566)</f>
        <v>3.199</v>
      </c>
      <c r="F561" s="98"/>
      <c r="G561" s="98"/>
      <c r="H561" s="110"/>
    </row>
    <row r="562" spans="1:18" ht="15" customHeight="1">
      <c r="A562" s="41" t="s">
        <v>5</v>
      </c>
      <c r="B562" s="322" t="s">
        <v>17</v>
      </c>
      <c r="C562" s="323"/>
      <c r="D562" s="294" t="s">
        <v>18</v>
      </c>
      <c r="E562" s="40" t="s">
        <v>7</v>
      </c>
      <c r="F562" s="98"/>
      <c r="G562" s="99" t="str">
        <f>CONCATENATE("Cable Scrap, Lying at ",B563,". Quantity in MT - ")</f>
        <v>Cable Scrap, Lying at OL Malerkotla. Quantity in MT - </v>
      </c>
      <c r="H562" s="319" t="str">
        <f ca="1">CONCATENATE(G562,G563,(INDIRECT(I563)),(INDIRECT(J563)),(INDIRECT(K563)),(INDIRECT(L563)),(INDIRECT(M563)),(INDIRECT(N563)),(INDIRECT(O563)),(INDIRECT(P563)),(INDIRECT(Q563)),(INDIRECT(R563)),".")</f>
        <v>Cable Scrap, Lying at OL Malerkotla. Quantity in MT - 2/core PVC Alumn. Cable scrap - 0.512, 4/core PVC Alumn. Cable scrap - 0.688, 3/ core XLPE Alu cable scrap - 0.975, ABC cable scrap (70/95 mm) - 1.024, .</v>
      </c>
      <c r="I562" s="106" t="str">
        <f aca="true" ca="1" t="array" ref="I562">CELL("address",INDEX(G562:G600,MATCH(TRUE,ISBLANK(G562:G600),0)))</f>
        <v>$G$567</v>
      </c>
      <c r="J562" s="106">
        <f aca="true" t="array" ref="J562">MATCH(TRUE,ISBLANK(G562:G600),0)</f>
        <v>6</v>
      </c>
      <c r="K562" s="106">
        <f>J562-3</f>
        <v>3</v>
      </c>
      <c r="L562" s="106"/>
      <c r="M562" s="106"/>
      <c r="N562" s="106"/>
      <c r="O562" s="106"/>
      <c r="P562" s="106"/>
      <c r="Q562" s="106"/>
      <c r="R562" s="106"/>
    </row>
    <row r="563" spans="1:18" ht="15" customHeight="1">
      <c r="A563" s="320" t="s">
        <v>266</v>
      </c>
      <c r="B563" s="320" t="s">
        <v>126</v>
      </c>
      <c r="C563" s="320"/>
      <c r="D563" s="35" t="s">
        <v>90</v>
      </c>
      <c r="E563" s="304">
        <v>0.512</v>
      </c>
      <c r="F563" s="98">
        <v>0.297</v>
      </c>
      <c r="G563" s="98" t="str">
        <f>CONCATENATE(D563," - ",E563,", ")</f>
        <v>2/core PVC Alumn. Cable scrap - 0.512, </v>
      </c>
      <c r="H563" s="319"/>
      <c r="I563" s="106" t="str">
        <f ca="1">IF(J562&gt;=3,(MID(I562,2,1)&amp;MID(I562,4,3)-K562),CELL("address",Z563))</f>
        <v>G564</v>
      </c>
      <c r="J563" s="106" t="str">
        <f ca="1">IF(J562&gt;=4,(MID(I563,1,1)&amp;MID(I563,2,3)+1),CELL("address",AA563))</f>
        <v>G565</v>
      </c>
      <c r="K563" s="106" t="str">
        <f ca="1">IF(J562&gt;=5,(MID(J563,1,1)&amp;MID(J563,2,3)+1),CELL("address",AB563))</f>
        <v>G566</v>
      </c>
      <c r="L563" s="106" t="str">
        <f ca="1">IF(J562&gt;=6,(MID(K563,1,1)&amp;MID(K563,2,3)+1),CELL("address",AC563))</f>
        <v>G567</v>
      </c>
      <c r="M563" s="106" t="str">
        <f ca="1">IF(J562&gt;=7,(MID(L563,1,1)&amp;MID(L563,2,3)+1),CELL("address",AD563))</f>
        <v>$AD$563</v>
      </c>
      <c r="N563" s="106" t="str">
        <f ca="1">IF(J562&gt;=8,(MID(M563,1,1)&amp;MID(M563,2,3)+1),CELL("address",AE563))</f>
        <v>$AE$563</v>
      </c>
      <c r="O563" s="106" t="str">
        <f ca="1">IF(J562&gt;=9,(MID(N563,1,1)&amp;MID(N563,2,3)+1),CELL("address",AF563))</f>
        <v>$AF$563</v>
      </c>
      <c r="P563" s="106" t="str">
        <f ca="1">IF(J562&gt;=10,(MID(O563,1,1)&amp;MID(O563,2,3)+1),CELL("address",AG563))</f>
        <v>$AG$563</v>
      </c>
      <c r="Q563" s="106" t="str">
        <f ca="1">IF(J562&gt;=11,(MID(P563,1,1)&amp;MID(P563,2,3)+1),CELL("address",AH563))</f>
        <v>$AH$563</v>
      </c>
      <c r="R563" s="106" t="str">
        <f ca="1">IF(J562&gt;=12,(MID(Q563,1,1)&amp;MID(Q563,2,3)+1),CELL("address",AI563))</f>
        <v>$AI$563</v>
      </c>
    </row>
    <row r="564" spans="1:8" ht="15" customHeight="1">
      <c r="A564" s="320"/>
      <c r="B564" s="320"/>
      <c r="C564" s="320"/>
      <c r="D564" s="35" t="s">
        <v>91</v>
      </c>
      <c r="E564" s="298">
        <v>0.688</v>
      </c>
      <c r="F564" s="98">
        <v>0.547</v>
      </c>
      <c r="G564" s="98" t="str">
        <f>CONCATENATE(D564," - ",E564,", ")</f>
        <v>4/core PVC Alumn. Cable scrap - 0.688, </v>
      </c>
      <c r="H564" s="110"/>
    </row>
    <row r="565" spans="1:8" ht="15" customHeight="1">
      <c r="A565" s="320"/>
      <c r="B565" s="320"/>
      <c r="C565" s="320"/>
      <c r="D565" s="35" t="s">
        <v>92</v>
      </c>
      <c r="E565" s="298">
        <v>0.975</v>
      </c>
      <c r="F565" s="98">
        <v>0.745</v>
      </c>
      <c r="G565" s="98" t="str">
        <f>CONCATENATE(D565," - ",E565,", ")</f>
        <v>3/ core XLPE Alu cable scrap - 0.975, </v>
      </c>
      <c r="H565" s="110"/>
    </row>
    <row r="566" spans="1:8" ht="15" customHeight="1">
      <c r="A566" s="320"/>
      <c r="B566" s="320"/>
      <c r="C566" s="320"/>
      <c r="D566" s="77" t="s">
        <v>168</v>
      </c>
      <c r="E566" s="279">
        <v>1.024</v>
      </c>
      <c r="F566" s="98">
        <v>0.472</v>
      </c>
      <c r="G566" s="98" t="str">
        <f>CONCATENATE(D566," - ",E566,", ")</f>
        <v>ABC cable scrap (70/95 mm) - 1.024, </v>
      </c>
      <c r="H566" s="110"/>
    </row>
    <row r="567" spans="1:8" ht="15" customHeight="1">
      <c r="A567" s="40"/>
      <c r="B567" s="42"/>
      <c r="C567" s="43"/>
      <c r="D567" s="77"/>
      <c r="E567" s="279"/>
      <c r="F567" s="98"/>
      <c r="G567" s="98"/>
      <c r="H567" s="110"/>
    </row>
    <row r="568" spans="1:8" ht="15" customHeight="1">
      <c r="A568" s="51"/>
      <c r="B568" s="301"/>
      <c r="C568" s="302"/>
      <c r="D568" s="81"/>
      <c r="E568" s="283">
        <f>SUM(E570:E573)</f>
        <v>4.92</v>
      </c>
      <c r="F568" s="98"/>
      <c r="G568" s="98"/>
      <c r="H568" s="110"/>
    </row>
    <row r="569" spans="1:18" ht="15" customHeight="1">
      <c r="A569" s="41" t="s">
        <v>5</v>
      </c>
      <c r="B569" s="322" t="s">
        <v>17</v>
      </c>
      <c r="C569" s="323"/>
      <c r="D569" s="294" t="s">
        <v>18</v>
      </c>
      <c r="E569" s="40" t="s">
        <v>7</v>
      </c>
      <c r="F569" s="98"/>
      <c r="G569" s="99" t="str">
        <f>CONCATENATE("Cable Scrap, Lying at ",B570,". Quantity in MT - ")</f>
        <v>Cable Scrap, Lying at OL Moga. Quantity in MT - </v>
      </c>
      <c r="H569" s="319" t="str">
        <f ca="1">CONCATENATE(G569,G570,(INDIRECT(I570)),(INDIRECT(J570)),(INDIRECT(K570)),(INDIRECT(L570)),(INDIRECT(M570)),(INDIRECT(N570)),(INDIRECT(O570)),(INDIRECT(P570)),(INDIRECT(Q570)),(INDIRECT(R570)),".")</f>
        <v>Cable Scrap, Lying at OL Moga. Quantity in MT - 2/core PVC Alumn. Cable scrap - 1.19, 4/core PVC Alumn. Cable scrap - 1.994, 1/ core XLPE Alu cable scrap - 0.239, 3/ core XLPE Alu cable scrap - 1.497, .</v>
      </c>
      <c r="I569" s="106" t="str">
        <f aca="true" ca="1" t="array" ref="I569">CELL("address",INDEX(G569:G606,MATCH(TRUE,ISBLANK(G569:G606),0)))</f>
        <v>$G$574</v>
      </c>
      <c r="J569" s="106">
        <f aca="true" t="array" ref="J569">MATCH(TRUE,ISBLANK(G569:G606),0)</f>
        <v>6</v>
      </c>
      <c r="K569" s="106">
        <f>J569-3</f>
        <v>3</v>
      </c>
      <c r="L569" s="106"/>
      <c r="M569" s="106"/>
      <c r="N569" s="106"/>
      <c r="O569" s="106"/>
      <c r="P569" s="106"/>
      <c r="Q569" s="106"/>
      <c r="R569" s="106"/>
    </row>
    <row r="570" spans="1:18" ht="15" customHeight="1">
      <c r="A570" s="320" t="s">
        <v>270</v>
      </c>
      <c r="B570" s="320" t="s">
        <v>271</v>
      </c>
      <c r="C570" s="320"/>
      <c r="D570" s="46" t="s">
        <v>90</v>
      </c>
      <c r="E570" s="40">
        <v>1.19</v>
      </c>
      <c r="F570" s="98"/>
      <c r="G570" s="98" t="str">
        <f>CONCATENATE(D570," - ",E570,", ")</f>
        <v>2/core PVC Alumn. Cable scrap - 1.19, </v>
      </c>
      <c r="H570" s="319"/>
      <c r="I570" s="106" t="str">
        <f ca="1">IF(J569&gt;=3,(MID(I569,2,1)&amp;MID(I569,4,3)-K569),CELL("address",Z570))</f>
        <v>G571</v>
      </c>
      <c r="J570" s="106" t="str">
        <f ca="1">IF(J569&gt;=4,(MID(I570,1,1)&amp;MID(I570,2,3)+1),CELL("address",AA570))</f>
        <v>G572</v>
      </c>
      <c r="K570" s="106" t="str">
        <f ca="1">IF(J569&gt;=5,(MID(J570,1,1)&amp;MID(J570,2,3)+1),CELL("address",AB570))</f>
        <v>G573</v>
      </c>
      <c r="L570" s="106" t="str">
        <f ca="1">IF(J569&gt;=6,(MID(K570,1,1)&amp;MID(K570,2,3)+1),CELL("address",AC570))</f>
        <v>G574</v>
      </c>
      <c r="M570" s="106" t="str">
        <f ca="1">IF(J569&gt;=7,(MID(L570,1,1)&amp;MID(L570,2,3)+1),CELL("address",AD570))</f>
        <v>$AD$570</v>
      </c>
      <c r="N570" s="106" t="str">
        <f ca="1">IF(J569&gt;=8,(MID(M570,1,1)&amp;MID(M570,2,3)+1),CELL("address",AE570))</f>
        <v>$AE$570</v>
      </c>
      <c r="O570" s="106" t="str">
        <f ca="1">IF(J569&gt;=9,(MID(N570,1,1)&amp;MID(N570,2,3)+1),CELL("address",AF570))</f>
        <v>$AF$570</v>
      </c>
      <c r="P570" s="106" t="str">
        <f ca="1">IF(J569&gt;=10,(MID(O570,1,1)&amp;MID(O570,2,3)+1),CELL("address",AG570))</f>
        <v>$AG$570</v>
      </c>
      <c r="Q570" s="106" t="str">
        <f ca="1">IF(J569&gt;=11,(MID(P570,1,1)&amp;MID(P570,2,3)+1),CELL("address",AH570))</f>
        <v>$AH$570</v>
      </c>
      <c r="R570" s="106" t="str">
        <f ca="1">IF(J569&gt;=12,(MID(Q570,1,1)&amp;MID(Q570,2,3)+1),CELL("address",AI570))</f>
        <v>$AI$570</v>
      </c>
    </row>
    <row r="571" spans="1:8" ht="15" customHeight="1">
      <c r="A571" s="320"/>
      <c r="B571" s="320"/>
      <c r="C571" s="320"/>
      <c r="D571" s="35" t="s">
        <v>91</v>
      </c>
      <c r="E571" s="298">
        <v>1.994</v>
      </c>
      <c r="F571" s="98">
        <v>1.989</v>
      </c>
      <c r="G571" s="98" t="str">
        <f>CONCATENATE(D571," - ",E571,", ")</f>
        <v>4/core PVC Alumn. Cable scrap - 1.994, </v>
      </c>
      <c r="H571" s="110"/>
    </row>
    <row r="572" spans="1:8" ht="15" customHeight="1">
      <c r="A572" s="320"/>
      <c r="B572" s="320"/>
      <c r="C572" s="320"/>
      <c r="D572" s="46" t="s">
        <v>97</v>
      </c>
      <c r="E572" s="70">
        <v>0.239</v>
      </c>
      <c r="F572" s="98"/>
      <c r="G572" s="98" t="str">
        <f>CONCATENATE(D572," - ",E572,", ")</f>
        <v>1/ core XLPE Alu cable scrap - 0.239, </v>
      </c>
      <c r="H572" s="110"/>
    </row>
    <row r="573" spans="1:8" ht="15" customHeight="1">
      <c r="A573" s="320"/>
      <c r="B573" s="320"/>
      <c r="C573" s="320"/>
      <c r="D573" s="35" t="s">
        <v>92</v>
      </c>
      <c r="E573" s="279">
        <v>1.497</v>
      </c>
      <c r="F573" s="98">
        <v>1.475</v>
      </c>
      <c r="G573" s="98" t="str">
        <f>CONCATENATE(D573," - ",E573,", ")</f>
        <v>3/ core XLPE Alu cable scrap - 1.497, </v>
      </c>
      <c r="H573" s="110"/>
    </row>
    <row r="574" spans="1:8" ht="15" customHeight="1">
      <c r="A574" s="40"/>
      <c r="B574" s="42"/>
      <c r="C574" s="43"/>
      <c r="D574" s="35"/>
      <c r="E574" s="279"/>
      <c r="F574" s="98"/>
      <c r="G574" s="98"/>
      <c r="H574" s="110"/>
    </row>
    <row r="575" spans="1:8" ht="15" customHeight="1">
      <c r="A575" s="13" t="s">
        <v>13</v>
      </c>
      <c r="B575" s="14"/>
      <c r="C575" s="10"/>
      <c r="D575" s="35"/>
      <c r="E575" s="284"/>
      <c r="F575" s="98"/>
      <c r="G575" s="98"/>
      <c r="H575" s="110"/>
    </row>
    <row r="576" spans="1:8" ht="15" customHeight="1">
      <c r="A576" s="54"/>
      <c r="B576" s="55"/>
      <c r="C576" s="56"/>
      <c r="D576" s="56"/>
      <c r="E576" s="264">
        <f>SUM(E578:E579)</f>
        <v>22.312</v>
      </c>
      <c r="F576" s="260"/>
      <c r="G576" s="98"/>
      <c r="H576" s="110"/>
    </row>
    <row r="577" spans="1:18" ht="15" customHeight="1">
      <c r="A577" s="320" t="s">
        <v>5</v>
      </c>
      <c r="B577" s="320"/>
      <c r="C577" s="57" t="s">
        <v>17</v>
      </c>
      <c r="D577" s="290" t="s">
        <v>18</v>
      </c>
      <c r="E577" s="40" t="s">
        <v>7</v>
      </c>
      <c r="F577" s="98"/>
      <c r="G577" s="99" t="str">
        <f>CONCATENATE("Misc. Iron Scrap, Lying at ",C578,". Quantity in MT - ")</f>
        <v>Misc. Iron Scrap, Lying at Pilot W/Shop Sri Muktsar Sahib. Quantity in MT - </v>
      </c>
      <c r="H577" s="319" t="str">
        <f ca="1">CONCATENATE(G577,G578,(INDIRECT(I578)),(INDIRECT(J578)),(INDIRECT(K578)),(INDIRECT(L578)),(INDIRECT(M578)),(INDIRECT(N578)),(INDIRECT(O578)),(INDIRECT(P578)),(INDIRECT(Q578)),(INDIRECT(R578)),".")</f>
        <v>Misc. Iron Scrap, Lying at Pilot W/Shop Sri Muktsar Sahib. Quantity in MT - MS iron scrap / GI scrap - 10.182, HT wire scrap off size - 12.13, .</v>
      </c>
      <c r="I577" s="106" t="str">
        <f aca="true" ca="1" t="array" ref="I577">CELL("address",INDEX(G577:G595,MATCH(TRUE,ISBLANK(G577:G595),0)))</f>
        <v>$G$580</v>
      </c>
      <c r="J577" s="106">
        <f aca="true" t="array" ref="J577">MATCH(TRUE,ISBLANK(G577:G595),0)</f>
        <v>4</v>
      </c>
      <c r="K577" s="106">
        <f>J577-3</f>
        <v>1</v>
      </c>
      <c r="L577" s="106"/>
      <c r="M577" s="106"/>
      <c r="N577" s="106"/>
      <c r="O577" s="106"/>
      <c r="P577" s="106"/>
      <c r="Q577" s="106"/>
      <c r="R577" s="106"/>
    </row>
    <row r="578" spans="1:18" ht="15" customHeight="1">
      <c r="A578" s="350" t="s">
        <v>21</v>
      </c>
      <c r="B578" s="352"/>
      <c r="C578" s="321" t="s">
        <v>19</v>
      </c>
      <c r="D578" s="41" t="s">
        <v>20</v>
      </c>
      <c r="E578" s="70">
        <v>10.182</v>
      </c>
      <c r="F578" s="98"/>
      <c r="G578" s="98" t="str">
        <f>CONCATENATE(D578," - ",E578,", ")</f>
        <v>MS iron scrap / GI scrap - 10.182, </v>
      </c>
      <c r="H578" s="319"/>
      <c r="I578" s="106" t="str">
        <f ca="1">IF(J577&gt;=3,(MID(I577,2,1)&amp;MID(I577,4,3)-K577),CELL("address",Z578))</f>
        <v>G579</v>
      </c>
      <c r="J578" s="106" t="str">
        <f ca="1">IF(J577&gt;=4,(MID(I578,1,1)&amp;MID(I578,2,3)+1),CELL("address",AA578))</f>
        <v>G580</v>
      </c>
      <c r="K578" s="106" t="str">
        <f ca="1">IF(J577&gt;=5,(MID(J578,1,1)&amp;MID(J578,2,3)+1),CELL("address",AB578))</f>
        <v>$AB$578</v>
      </c>
      <c r="L578" s="106" t="str">
        <f ca="1">IF(J577&gt;=6,(MID(K578,1,1)&amp;MID(K578,2,3)+1),CELL("address",AC578))</f>
        <v>$AC$578</v>
      </c>
      <c r="M578" s="106" t="str">
        <f ca="1">IF(J577&gt;=7,(MID(L578,1,1)&amp;MID(L578,2,3)+1),CELL("address",AD578))</f>
        <v>$AD$578</v>
      </c>
      <c r="N578" s="106" t="str">
        <f ca="1">IF(J577&gt;=8,(MID(M578,1,1)&amp;MID(M578,2,3)+1),CELL("address",AE578))</f>
        <v>$AE$578</v>
      </c>
      <c r="O578" s="106" t="str">
        <f ca="1">IF(J577&gt;=9,(MID(N578,1,1)&amp;MID(N578,2,3)+1),CELL("address",AF578))</f>
        <v>$AF$578</v>
      </c>
      <c r="P578" s="106" t="str">
        <f ca="1">IF(J577&gt;=10,(MID(O578,1,1)&amp;MID(O578,2,3)+1),CELL("address",AG578))</f>
        <v>$AG$578</v>
      </c>
      <c r="Q578" s="106" t="str">
        <f ca="1">IF(J577&gt;=11,(MID(P578,1,1)&amp;MID(P578,2,3)+1),CELL("address",AH578))</f>
        <v>$AH$578</v>
      </c>
      <c r="R578" s="106" t="str">
        <f ca="1">IF(J577&gt;=12,(MID(Q578,1,1)&amp;MID(Q578,2,3)+1),CELL("address",AI578))</f>
        <v>$AI$578</v>
      </c>
    </row>
    <row r="579" spans="1:8" ht="15" customHeight="1">
      <c r="A579" s="353"/>
      <c r="B579" s="354"/>
      <c r="C579" s="416"/>
      <c r="D579" s="41" t="s">
        <v>71</v>
      </c>
      <c r="E579" s="70">
        <v>12.13</v>
      </c>
      <c r="F579" s="98"/>
      <c r="G579" s="98" t="str">
        <f>CONCATENATE(D579," - ",E579,", ")</f>
        <v>HT wire scrap off size - 12.13, </v>
      </c>
      <c r="H579" s="110"/>
    </row>
    <row r="580" spans="1:8" ht="15" customHeight="1">
      <c r="A580" s="40"/>
      <c r="B580" s="42"/>
      <c r="C580" s="49"/>
      <c r="D580" s="39"/>
      <c r="E580" s="291"/>
      <c r="F580" s="98"/>
      <c r="G580" s="98"/>
      <c r="H580" s="110"/>
    </row>
    <row r="581" spans="1:8" ht="15" customHeight="1">
      <c r="A581" s="54"/>
      <c r="B581" s="55"/>
      <c r="C581" s="56"/>
      <c r="D581" s="56"/>
      <c r="E581" s="264">
        <f>SUM(E583:E584)</f>
        <v>19.325</v>
      </c>
      <c r="F581" s="98"/>
      <c r="G581" s="98"/>
      <c r="H581" s="110"/>
    </row>
    <row r="582" spans="1:18" ht="15" customHeight="1">
      <c r="A582" s="320" t="s">
        <v>5</v>
      </c>
      <c r="B582" s="320"/>
      <c r="C582" s="57" t="s">
        <v>17</v>
      </c>
      <c r="D582" s="290" t="s">
        <v>18</v>
      </c>
      <c r="E582" s="40" t="s">
        <v>7</v>
      </c>
      <c r="F582" s="98"/>
      <c r="G582" s="99" t="str">
        <f>CONCATENATE("Misc. Iron Scrap, Lying at ",C583,". Quantity in MT - ")</f>
        <v>Misc. Iron Scrap, Lying at Pilot Workshop Mohali. Quantity in MT - </v>
      </c>
      <c r="H582" s="319" t="str">
        <f ca="1">CONCATENATE(G582,G583,(INDIRECT(I583)),(INDIRECT(J583)),(INDIRECT(K583)),(INDIRECT(L583)),(INDIRECT(M583)),(INDIRECT(N583)),(INDIRECT(O583)),(INDIRECT(P583)),(INDIRECT(Q583)),(INDIRECT(R583)),".")</f>
        <v>Misc. Iron Scrap, Lying at Pilot Workshop Mohali. Quantity in MT - HT Wire scrap &amp; other intermingled iron scrap - 14, MS iron scrap ( MS sections, scrapped T&amp;P etc) - 5.325, .</v>
      </c>
      <c r="I582" s="106" t="str">
        <f aca="true" ca="1" t="array" ref="I582">CELL("address",INDEX(G582:G600,MATCH(TRUE,ISBLANK(G582:G600),0)))</f>
        <v>$G$585</v>
      </c>
      <c r="J582" s="106">
        <f aca="true" t="array" ref="J582">MATCH(TRUE,ISBLANK(G582:G600),0)</f>
        <v>4</v>
      </c>
      <c r="K582" s="106">
        <f>J582-3</f>
        <v>1</v>
      </c>
      <c r="L582" s="106"/>
      <c r="M582" s="106"/>
      <c r="N582" s="106"/>
      <c r="O582" s="106"/>
      <c r="P582" s="106"/>
      <c r="Q582" s="106"/>
      <c r="R582" s="106"/>
    </row>
    <row r="583" spans="1:18" ht="15" customHeight="1">
      <c r="A583" s="320" t="s">
        <v>30</v>
      </c>
      <c r="B583" s="320"/>
      <c r="C583" s="321" t="s">
        <v>54</v>
      </c>
      <c r="D583" s="43" t="s">
        <v>55</v>
      </c>
      <c r="E583" s="70">
        <v>14</v>
      </c>
      <c r="F583" s="98"/>
      <c r="G583" s="113" t="str">
        <f>CONCATENATE(D583," - ",E583,", ")</f>
        <v>HT Wire scrap &amp; other intermingled iron scrap - 14, </v>
      </c>
      <c r="H583" s="319"/>
      <c r="I583" s="106" t="str">
        <f ca="1">IF(J582&gt;=3,(MID(I582,2,1)&amp;MID(I582,4,3)-K582),CELL("address",Z583))</f>
        <v>G584</v>
      </c>
      <c r="J583" s="106" t="str">
        <f ca="1">IF(J582&gt;=4,(MID(I583,1,1)&amp;MID(I583,2,3)+1),CELL("address",AA583))</f>
        <v>G585</v>
      </c>
      <c r="K583" s="106" t="str">
        <f ca="1">IF(J582&gt;=5,(MID(J583,1,1)&amp;MID(J583,2,3)+1),CELL("address",AB583))</f>
        <v>$AB$583</v>
      </c>
      <c r="L583" s="106" t="str">
        <f ca="1">IF(J582&gt;=6,(MID(K583,1,1)&amp;MID(K583,2,3)+1),CELL("address",AC583))</f>
        <v>$AC$583</v>
      </c>
      <c r="M583" s="106" t="str">
        <f ca="1">IF(J582&gt;=7,(MID(L583,1,1)&amp;MID(L583,2,3)+1),CELL("address",AD583))</f>
        <v>$AD$583</v>
      </c>
      <c r="N583" s="106" t="str">
        <f ca="1">IF(J582&gt;=8,(MID(M583,1,1)&amp;MID(M583,2,3)+1),CELL("address",AE583))</f>
        <v>$AE$583</v>
      </c>
      <c r="O583" s="106" t="str">
        <f ca="1">IF(J582&gt;=9,(MID(N583,1,1)&amp;MID(N583,2,3)+1),CELL("address",AF583))</f>
        <v>$AF$583</v>
      </c>
      <c r="P583" s="106" t="str">
        <f ca="1">IF(J582&gt;=10,(MID(O583,1,1)&amp;MID(O583,2,3)+1),CELL("address",AG583))</f>
        <v>$AG$583</v>
      </c>
      <c r="Q583" s="106" t="str">
        <f ca="1">IF(J582&gt;=11,(MID(P583,1,1)&amp;MID(P583,2,3)+1),CELL("address",AH583))</f>
        <v>$AH$583</v>
      </c>
      <c r="R583" s="106" t="str">
        <f ca="1">IF(J582&gt;=12,(MID(Q583,1,1)&amp;MID(Q583,2,3)+1),CELL("address",AI583))</f>
        <v>$AI$583</v>
      </c>
    </row>
    <row r="584" spans="1:8" ht="15" customHeight="1">
      <c r="A584" s="320"/>
      <c r="B584" s="320"/>
      <c r="C584" s="321"/>
      <c r="D584" s="75" t="s">
        <v>56</v>
      </c>
      <c r="E584" s="70">
        <v>5.325</v>
      </c>
      <c r="F584" s="98"/>
      <c r="G584" s="113" t="str">
        <f>CONCATENATE(D584," - ",E584,", ")</f>
        <v>MS iron scrap ( MS sections, scrapped T&amp;P etc) - 5.325, </v>
      </c>
      <c r="H584" s="110"/>
    </row>
    <row r="585" spans="1:8" ht="15" customHeight="1">
      <c r="A585" s="40"/>
      <c r="B585" s="42"/>
      <c r="C585" s="49"/>
      <c r="D585" s="39"/>
      <c r="E585" s="291"/>
      <c r="F585" s="98"/>
      <c r="G585" s="113"/>
      <c r="H585" s="110"/>
    </row>
    <row r="586" spans="1:8" ht="15" customHeight="1">
      <c r="A586" s="54"/>
      <c r="B586" s="55"/>
      <c r="C586" s="55"/>
      <c r="D586" s="56"/>
      <c r="E586" s="261">
        <f>SUM(E588:E588)</f>
        <v>26687</v>
      </c>
      <c r="F586" s="98"/>
      <c r="G586" s="113"/>
      <c r="H586" s="110"/>
    </row>
    <row r="587" spans="1:18" ht="15" customHeight="1">
      <c r="A587" s="320" t="s">
        <v>5</v>
      </c>
      <c r="B587" s="320"/>
      <c r="C587" s="41" t="s">
        <v>17</v>
      </c>
      <c r="D587" s="290" t="s">
        <v>18</v>
      </c>
      <c r="E587" s="40" t="s">
        <v>69</v>
      </c>
      <c r="F587" s="98"/>
      <c r="G587" s="273" t="str">
        <f>CONCATENATE("Misc. Iron Scrap, Lying at ",C588,". Quantity in No - ")</f>
        <v>Misc. Iron Scrap, Lying at S &amp; T Store Bathinda. Quantity in No - </v>
      </c>
      <c r="H587" s="319" t="str">
        <f ca="1">CONCATENATE(G587,G588,(INDIRECT(I588)),(INDIRECT(J588)),(INDIRECT(K588)),(INDIRECT(L588)),(INDIRECT(M588)),(INDIRECT(N588)),(INDIRECT(O588)),(INDIRECT(P588)),(INDIRECT(Q588)),(INDIRECT(R588)),".")</f>
        <v>Misc. Iron Scrap, Lying at S &amp; T Store Bathinda. Quantity in No - Disc Insulator Scrap - 26687, .</v>
      </c>
      <c r="I587" s="106" t="str">
        <f aca="true" ca="1" t="array" ref="I587">CELL("address",INDEX(G587:G602,MATCH(TRUE,ISBLANK(G587:G602),0)))</f>
        <v>$G$589</v>
      </c>
      <c r="J587" s="106">
        <f aca="true" t="array" ref="J587">MATCH(TRUE,ISBLANK(G587:G602),0)</f>
        <v>3</v>
      </c>
      <c r="K587" s="106">
        <f>J587-3</f>
        <v>0</v>
      </c>
      <c r="L587" s="106"/>
      <c r="M587" s="106"/>
      <c r="N587" s="106"/>
      <c r="O587" s="106"/>
      <c r="P587" s="106"/>
      <c r="Q587" s="106"/>
      <c r="R587" s="106"/>
    </row>
    <row r="588" spans="1:18" ht="15" customHeight="1">
      <c r="A588" s="350" t="s">
        <v>33</v>
      </c>
      <c r="B588" s="351"/>
      <c r="C588" s="296" t="s">
        <v>57</v>
      </c>
      <c r="D588" s="41" t="s">
        <v>70</v>
      </c>
      <c r="E588" s="262">
        <v>26687</v>
      </c>
      <c r="F588" s="98"/>
      <c r="G588" s="113" t="str">
        <f>CONCATENATE(D588," - ",E588,", ")</f>
        <v>Disc Insulator Scrap - 26687, </v>
      </c>
      <c r="H588" s="319"/>
      <c r="I588" s="106" t="str">
        <f ca="1">IF(J587&gt;=3,(MID(I587,2,1)&amp;MID(I587,4,3)-K587),CELL("address",Z588))</f>
        <v>G589</v>
      </c>
      <c r="J588" s="106" t="str">
        <f ca="1">IF(J587&gt;=4,(MID(I588,1,1)&amp;MID(I588,2,3)+1),CELL("address",AA588))</f>
        <v>$AA$588</v>
      </c>
      <c r="K588" s="106" t="str">
        <f ca="1">IF(J587&gt;=5,(MID(J588,1,1)&amp;MID(J588,2,3)+1),CELL("address",AB588))</f>
        <v>$AB$588</v>
      </c>
      <c r="L588" s="106" t="str">
        <f ca="1">IF(J587&gt;=6,(MID(K588,1,1)&amp;MID(K588,2,3)+1),CELL("address",AC588))</f>
        <v>$AC$588</v>
      </c>
      <c r="M588" s="106" t="str">
        <f ca="1">IF(J587&gt;=7,(MID(L588,1,1)&amp;MID(L588,2,3)+1),CELL("address",AD588))</f>
        <v>$AD$588</v>
      </c>
      <c r="N588" s="106" t="str">
        <f ca="1">IF(J587&gt;=8,(MID(M588,1,1)&amp;MID(M588,2,3)+1),CELL("address",AE588))</f>
        <v>$AE$588</v>
      </c>
      <c r="O588" s="106" t="str">
        <f ca="1">IF(J587&gt;=9,(MID(N588,1,1)&amp;MID(N588,2,3)+1),CELL("address",AF588))</f>
        <v>$AF$588</v>
      </c>
      <c r="P588" s="106" t="str">
        <f ca="1">IF(J587&gt;=10,(MID(O588,1,1)&amp;MID(O588,2,3)+1),CELL("address",AG588))</f>
        <v>$AG$588</v>
      </c>
      <c r="Q588" s="106" t="str">
        <f ca="1">IF(J587&gt;=11,(MID(P588,1,1)&amp;MID(P588,2,3)+1),CELL("address",AH588))</f>
        <v>$AH$588</v>
      </c>
      <c r="R588" s="106" t="str">
        <f ca="1">IF(J587&gt;=12,(MID(Q588,1,1)&amp;MID(Q588,2,3)+1),CELL("address",AI588))</f>
        <v>$AI$588</v>
      </c>
    </row>
    <row r="589" spans="1:8" ht="15" customHeight="1">
      <c r="A589" s="40"/>
      <c r="B589" s="43"/>
      <c r="C589" s="290"/>
      <c r="D589" s="41"/>
      <c r="E589" s="263"/>
      <c r="F589" s="98"/>
      <c r="G589" s="113"/>
      <c r="H589" s="110"/>
    </row>
    <row r="590" spans="1:8" ht="15" customHeight="1">
      <c r="A590" s="54"/>
      <c r="B590" s="55"/>
      <c r="C590" s="55"/>
      <c r="D590" s="56"/>
      <c r="E590" s="264">
        <f>SUM(E592:E593)</f>
        <v>128.268</v>
      </c>
      <c r="F590" s="98"/>
      <c r="G590" s="113"/>
      <c r="H590" s="110"/>
    </row>
    <row r="591" spans="1:18" ht="15" customHeight="1">
      <c r="A591" s="320" t="s">
        <v>5</v>
      </c>
      <c r="B591" s="320"/>
      <c r="C591" s="41" t="s">
        <v>17</v>
      </c>
      <c r="D591" s="290" t="s">
        <v>18</v>
      </c>
      <c r="E591" s="40" t="s">
        <v>7</v>
      </c>
      <c r="F591" s="98"/>
      <c r="G591" s="273" t="str">
        <f>CONCATENATE("Misc. Iron Scrap, Lying at ",C592,". Quantity in MT - ")</f>
        <v>Misc. Iron Scrap, Lying at S &amp; T Store Bathinda. Quantity in MT - </v>
      </c>
      <c r="H591" s="319" t="str">
        <f ca="1">CONCATENATE(G591,G592,(INDIRECT(I592)),(INDIRECT(J592)),(INDIRECT(K592)),(INDIRECT(L592)),(INDIRECT(M592)),(INDIRECT(N592)),(INDIRECT(O592)),(INDIRECT(P592)),(INDIRECT(Q592)),(INDIRECT(R592)),".")</f>
        <v>Misc. Iron Scrap, Lying at S &amp; T Store Bathinda. Quantity in MT - MS Rail scrap - 123.916, Earthwire GSL scrap - 4.352, .</v>
      </c>
      <c r="I591" s="106" t="str">
        <f aca="true" ca="1" t="array" ref="I591">CELL("address",INDEX(G591:G607,MATCH(TRUE,ISBLANK(G591:G607),0)))</f>
        <v>$G$594</v>
      </c>
      <c r="J591" s="106">
        <f aca="true" t="array" ref="J591">MATCH(TRUE,ISBLANK(G591:G607),0)</f>
        <v>4</v>
      </c>
      <c r="K591" s="106">
        <f>J591-3</f>
        <v>1</v>
      </c>
      <c r="L591" s="106"/>
      <c r="M591" s="106"/>
      <c r="N591" s="106"/>
      <c r="O591" s="106"/>
      <c r="P591" s="106"/>
      <c r="Q591" s="106"/>
      <c r="R591" s="106"/>
    </row>
    <row r="592" spans="1:18" ht="15" customHeight="1">
      <c r="A592" s="320" t="s">
        <v>51</v>
      </c>
      <c r="B592" s="320"/>
      <c r="C592" s="321" t="s">
        <v>57</v>
      </c>
      <c r="D592" s="41" t="s">
        <v>61</v>
      </c>
      <c r="E592" s="70">
        <v>123.916</v>
      </c>
      <c r="F592" s="98"/>
      <c r="G592" s="113" t="str">
        <f>CONCATENATE(D592," - ",E592,", ")</f>
        <v>MS Rail scrap - 123.916, </v>
      </c>
      <c r="H592" s="319"/>
      <c r="I592" s="106" t="str">
        <f ca="1">IF(J591&gt;=3,(MID(I591,2,1)&amp;MID(I591,4,3)-K591),CELL("address",Z592))</f>
        <v>G593</v>
      </c>
      <c r="J592" s="106" t="str">
        <f ca="1">IF(J591&gt;=4,(MID(I592,1,1)&amp;MID(I592,2,3)+1),CELL("address",AA592))</f>
        <v>G594</v>
      </c>
      <c r="K592" s="106" t="str">
        <f ca="1">IF(J591&gt;=5,(MID(J592,1,1)&amp;MID(J592,2,3)+1),CELL("address",AB592))</f>
        <v>$AB$592</v>
      </c>
      <c r="L592" s="106" t="str">
        <f ca="1">IF(J591&gt;=6,(MID(K592,1,1)&amp;MID(K592,2,3)+1),CELL("address",AC592))</f>
        <v>$AC$592</v>
      </c>
      <c r="M592" s="106" t="str">
        <f ca="1">IF(J591&gt;=7,(MID(L592,1,1)&amp;MID(L592,2,3)+1),CELL("address",AD592))</f>
        <v>$AD$592</v>
      </c>
      <c r="N592" s="106" t="str">
        <f ca="1">IF(J591&gt;=8,(MID(M592,1,1)&amp;MID(M592,2,3)+1),CELL("address",AE592))</f>
        <v>$AE$592</v>
      </c>
      <c r="O592" s="106" t="str">
        <f ca="1">IF(J591&gt;=9,(MID(N592,1,1)&amp;MID(N592,2,3)+1),CELL("address",AF592))</f>
        <v>$AF$592</v>
      </c>
      <c r="P592" s="106" t="str">
        <f ca="1">IF(J591&gt;=10,(MID(O592,1,1)&amp;MID(O592,2,3)+1),CELL("address",AG592))</f>
        <v>$AG$592</v>
      </c>
      <c r="Q592" s="106" t="str">
        <f ca="1">IF(J591&gt;=11,(MID(P592,1,1)&amp;MID(P592,2,3)+1),CELL("address",AH592))</f>
        <v>$AH$592</v>
      </c>
      <c r="R592" s="106" t="str">
        <f ca="1">IF(J591&gt;=12,(MID(Q592,1,1)&amp;MID(Q592,2,3)+1),CELL("address",AI592))</f>
        <v>$AI$592</v>
      </c>
    </row>
    <row r="593" spans="1:8" ht="15" customHeight="1">
      <c r="A593" s="320"/>
      <c r="B593" s="320"/>
      <c r="C593" s="321"/>
      <c r="D593" s="41" t="s">
        <v>142</v>
      </c>
      <c r="E593" s="70">
        <v>4.352</v>
      </c>
      <c r="F593" s="98"/>
      <c r="G593" s="113" t="str">
        <f>CONCATENATE(D593," - ",E593,", ")</f>
        <v>Earthwire GSL scrap - 4.352, </v>
      </c>
      <c r="H593" s="110"/>
    </row>
    <row r="594" spans="1:8" ht="15" customHeight="1">
      <c r="A594" s="40"/>
      <c r="B594" s="42"/>
      <c r="C594" s="49"/>
      <c r="D594" s="42"/>
      <c r="E594" s="59"/>
      <c r="F594" s="98"/>
      <c r="G594" s="113"/>
      <c r="H594" s="110"/>
    </row>
    <row r="595" spans="1:8" ht="15" customHeight="1">
      <c r="A595" s="54"/>
      <c r="B595" s="55"/>
      <c r="C595" s="55"/>
      <c r="D595" s="57"/>
      <c r="E595" s="58">
        <f>SUM(E597:E599)</f>
        <v>3.0149999999999997</v>
      </c>
      <c r="F595" s="98"/>
      <c r="G595" s="113"/>
      <c r="H595" s="110"/>
    </row>
    <row r="596" spans="1:18" ht="15" customHeight="1">
      <c r="A596" s="320" t="s">
        <v>5</v>
      </c>
      <c r="B596" s="320"/>
      <c r="C596" s="41" t="s">
        <v>17</v>
      </c>
      <c r="D596" s="290" t="s">
        <v>18</v>
      </c>
      <c r="E596" s="40" t="s">
        <v>7</v>
      </c>
      <c r="F596" s="98"/>
      <c r="G596" s="273" t="str">
        <f>CONCATENATE("Misc. Iron Scrap, Lying at ",C597,". Quantity in MT - ")</f>
        <v>Misc. Iron Scrap, Lying at CS Ferozepur. Quantity in MT - </v>
      </c>
      <c r="H596" s="319" t="str">
        <f ca="1">CONCATENATE(G596,G597,(INDIRECT(I597)),(INDIRECT(J597)),(INDIRECT(K597)),(INDIRECT(L597)),(INDIRECT(M597)),(INDIRECT(N597)),(INDIRECT(O597)),(INDIRECT(P597)),(INDIRECT(Q597)),(INDIRECT(R597)),".")</f>
        <v>Misc. Iron Scrap, Lying at CS Ferozepur. Quantity in MT - MS iron scrap - 2.649, Teen Patra scrap - 0.32, G.I. Scrap - 0.046, .</v>
      </c>
      <c r="I596" s="106" t="str">
        <f aca="true" ca="1" t="array" ref="I596">CELL("address",INDEX(G596:G609,MATCH(TRUE,ISBLANK(G596:G609),0)))</f>
        <v>$G$600</v>
      </c>
      <c r="J596" s="106">
        <f aca="true" t="array" ref="J596">MATCH(TRUE,ISBLANK(G596:G609),0)</f>
        <v>5</v>
      </c>
      <c r="K596" s="106">
        <f>J596-3</f>
        <v>2</v>
      </c>
      <c r="L596" s="106"/>
      <c r="M596" s="106"/>
      <c r="N596" s="106"/>
      <c r="O596" s="106"/>
      <c r="P596" s="106"/>
      <c r="Q596" s="106"/>
      <c r="R596" s="106"/>
    </row>
    <row r="597" spans="1:18" ht="15" customHeight="1">
      <c r="A597" s="320" t="s">
        <v>65</v>
      </c>
      <c r="B597" s="320"/>
      <c r="C597" s="321" t="s">
        <v>99</v>
      </c>
      <c r="D597" s="235" t="s">
        <v>29</v>
      </c>
      <c r="E597" s="291">
        <v>2.649</v>
      </c>
      <c r="F597" s="98">
        <v>2.379</v>
      </c>
      <c r="G597" s="113" t="str">
        <f>CONCATENATE(D597," - ",E597,", ")</f>
        <v>MS iron scrap - 2.649, </v>
      </c>
      <c r="H597" s="319"/>
      <c r="I597" s="106" t="str">
        <f ca="1">IF(J596&gt;=3,(MID(I596,2,1)&amp;MID(I596,4,3)-K596),CELL("address",Z597))</f>
        <v>G598</v>
      </c>
      <c r="J597" s="106" t="str">
        <f ca="1">IF(J596&gt;=4,(MID(I597,1,1)&amp;MID(I597,2,3)+1),CELL("address",AA597))</f>
        <v>G599</v>
      </c>
      <c r="K597" s="106" t="str">
        <f ca="1">IF(J596&gt;=5,(MID(J597,1,1)&amp;MID(J597,2,3)+1),CELL("address",AB597))</f>
        <v>G600</v>
      </c>
      <c r="L597" s="106" t="str">
        <f ca="1">IF(J596&gt;=6,(MID(K597,1,1)&amp;MID(K597,2,3)+1),CELL("address",AC597))</f>
        <v>$AC$597</v>
      </c>
      <c r="M597" s="106" t="str">
        <f ca="1">IF(J596&gt;=7,(MID(L597,1,1)&amp;MID(L597,2,3)+1),CELL("address",AD597))</f>
        <v>$AD$597</v>
      </c>
      <c r="N597" s="106" t="str">
        <f ca="1">IF(J596&gt;=8,(MID(M597,1,1)&amp;MID(M597,2,3)+1),CELL("address",AE597))</f>
        <v>$AE$597</v>
      </c>
      <c r="O597" s="106" t="str">
        <f ca="1">IF(J596&gt;=9,(MID(N597,1,1)&amp;MID(N597,2,3)+1),CELL("address",AF597))</f>
        <v>$AF$597</v>
      </c>
      <c r="P597" s="106" t="str">
        <f ca="1">IF(J596&gt;=10,(MID(O597,1,1)&amp;MID(O597,2,3)+1),CELL("address",AG597))</f>
        <v>$AG$597</v>
      </c>
      <c r="Q597" s="106" t="str">
        <f ca="1">IF(J596&gt;=11,(MID(P597,1,1)&amp;MID(P597,2,3)+1),CELL("address",AH597))</f>
        <v>$AH$597</v>
      </c>
      <c r="R597" s="106" t="str">
        <f ca="1">IF(J596&gt;=12,(MID(Q597,1,1)&amp;MID(Q597,2,3)+1),CELL("address",AI597))</f>
        <v>$AI$597</v>
      </c>
    </row>
    <row r="598" spans="1:18" ht="15" customHeight="1">
      <c r="A598" s="320"/>
      <c r="B598" s="320"/>
      <c r="C598" s="321"/>
      <c r="D598" s="82" t="s">
        <v>64</v>
      </c>
      <c r="E598" s="59">
        <v>0.32</v>
      </c>
      <c r="F598" s="98"/>
      <c r="G598" s="113" t="str">
        <f>CONCATENATE(D598," - ",E598,", ")</f>
        <v>Teen Patra scrap - 0.32, </v>
      </c>
      <c r="H598" s="116"/>
      <c r="I598" s="106"/>
      <c r="J598" s="106"/>
      <c r="K598" s="106"/>
      <c r="L598" s="106"/>
      <c r="M598" s="106"/>
      <c r="N598" s="106"/>
      <c r="O598" s="106"/>
      <c r="P598" s="106"/>
      <c r="Q598" s="106"/>
      <c r="R598" s="106"/>
    </row>
    <row r="599" spans="1:18" ht="15" customHeight="1">
      <c r="A599" s="320"/>
      <c r="B599" s="320"/>
      <c r="C599" s="321"/>
      <c r="D599" s="82" t="s">
        <v>198</v>
      </c>
      <c r="E599" s="59">
        <v>0.046</v>
      </c>
      <c r="F599" s="98"/>
      <c r="G599" s="113" t="str">
        <f>CONCATENATE(D599," - ",E599,", ")</f>
        <v>G.I. Scrap - 0.046, </v>
      </c>
      <c r="H599" s="116"/>
      <c r="I599" s="106"/>
      <c r="J599" s="106"/>
      <c r="K599" s="106"/>
      <c r="L599" s="106"/>
      <c r="M599" s="106"/>
      <c r="N599" s="106"/>
      <c r="O599" s="106"/>
      <c r="P599" s="106"/>
      <c r="Q599" s="106"/>
      <c r="R599" s="106"/>
    </row>
    <row r="600" spans="1:8" ht="15" customHeight="1">
      <c r="A600" s="40"/>
      <c r="B600" s="42"/>
      <c r="C600" s="49"/>
      <c r="D600" s="39"/>
      <c r="E600" s="291"/>
      <c r="F600" s="98"/>
      <c r="G600" s="113"/>
      <c r="H600" s="110"/>
    </row>
    <row r="601" spans="1:8" ht="15" customHeight="1">
      <c r="A601" s="332"/>
      <c r="B601" s="333"/>
      <c r="C601" s="41"/>
      <c r="D601" s="57"/>
      <c r="E601" s="58">
        <f>SUM(E603:E604)</f>
        <v>2.452</v>
      </c>
      <c r="F601" s="98"/>
      <c r="G601" s="113"/>
      <c r="H601" s="110"/>
    </row>
    <row r="602" spans="1:18" ht="15" customHeight="1">
      <c r="A602" s="320" t="s">
        <v>5</v>
      </c>
      <c r="B602" s="320"/>
      <c r="C602" s="41" t="s">
        <v>17</v>
      </c>
      <c r="D602" s="290" t="s">
        <v>18</v>
      </c>
      <c r="E602" s="40" t="s">
        <v>7</v>
      </c>
      <c r="F602" s="98"/>
      <c r="G602" s="273" t="str">
        <f>CONCATENATE("Misc. Iron Scrap, Lying at ",C603,". Quantity in MT - ")</f>
        <v>Misc. Iron Scrap, Lying at OL Fazilka. Quantity in MT - </v>
      </c>
      <c r="H602" s="319" t="str">
        <f ca="1">CONCATENATE(G602,G603,(INDIRECT(I603)),(INDIRECT(J603)),(INDIRECT(K603)),(INDIRECT(L603)),(INDIRECT(M603)),(INDIRECT(N603)),(INDIRECT(O603)),(INDIRECT(P603)),(INDIRECT(Q603)),(INDIRECT(R603)),".")</f>
        <v>Misc. Iron Scrap, Lying at OL Fazilka. Quantity in MT - MS iron scrap - 2.282, Teen Patra scrap - 0.17, .</v>
      </c>
      <c r="I602" s="106" t="str">
        <f aca="true" ca="1" t="array" ref="I602">CELL("address",INDEX(G602:G610,MATCH(TRUE,ISBLANK(G602:G610),0)))</f>
        <v>$G$605</v>
      </c>
      <c r="J602" s="106">
        <f aca="true" t="array" ref="J602">MATCH(TRUE,ISBLANK(G602:G610),0)</f>
        <v>4</v>
      </c>
      <c r="K602" s="106">
        <f>J602-3</f>
        <v>1</v>
      </c>
      <c r="L602" s="106"/>
      <c r="M602" s="106"/>
      <c r="N602" s="106"/>
      <c r="O602" s="106"/>
      <c r="P602" s="106"/>
      <c r="Q602" s="106"/>
      <c r="R602" s="106"/>
    </row>
    <row r="603" spans="1:18" ht="15" customHeight="1">
      <c r="A603" s="350" t="s">
        <v>66</v>
      </c>
      <c r="B603" s="351"/>
      <c r="C603" s="344" t="s">
        <v>112</v>
      </c>
      <c r="D603" s="235" t="s">
        <v>29</v>
      </c>
      <c r="E603" s="291">
        <v>2.282</v>
      </c>
      <c r="F603" s="98">
        <v>1.957</v>
      </c>
      <c r="G603" s="113" t="str">
        <f>CONCATENATE(D603," - ",E603,", ")</f>
        <v>MS iron scrap - 2.282, </v>
      </c>
      <c r="H603" s="319"/>
      <c r="I603" s="106" t="str">
        <f ca="1">IF(J602&gt;=3,(MID(I602,2,1)&amp;MID(I602,4,3)-K602),CELL("address",Z603))</f>
        <v>G604</v>
      </c>
      <c r="J603" s="106" t="str">
        <f ca="1">IF(J602&gt;=4,(MID(I603,1,1)&amp;MID(I603,2,3)+1),CELL("address",AA603))</f>
        <v>G605</v>
      </c>
      <c r="K603" s="106" t="str">
        <f ca="1">IF(J602&gt;=5,(MID(J603,1,1)&amp;MID(J603,2,3)+1),CELL("address",AB603))</f>
        <v>$AB$603</v>
      </c>
      <c r="L603" s="106" t="str">
        <f ca="1">IF(J602&gt;=6,(MID(K603,1,1)&amp;MID(K603,2,3)+1),CELL("address",AC603))</f>
        <v>$AC$603</v>
      </c>
      <c r="M603" s="106" t="str">
        <f ca="1">IF(J602&gt;=7,(MID(L603,1,1)&amp;MID(L603,2,3)+1),CELL("address",AD603))</f>
        <v>$AD$603</v>
      </c>
      <c r="N603" s="106" t="str">
        <f ca="1">IF(J602&gt;=8,(MID(M603,1,1)&amp;MID(M603,2,3)+1),CELL("address",AE603))</f>
        <v>$AE$603</v>
      </c>
      <c r="O603" s="106" t="str">
        <f ca="1">IF(J602&gt;=9,(MID(N603,1,1)&amp;MID(N603,2,3)+1),CELL("address",AF603))</f>
        <v>$AF$603</v>
      </c>
      <c r="P603" s="106" t="str">
        <f ca="1">IF(J602&gt;=10,(MID(O603,1,1)&amp;MID(O603,2,3)+1),CELL("address",AG603))</f>
        <v>$AG$603</v>
      </c>
      <c r="Q603" s="106" t="str">
        <f ca="1">IF(J602&gt;=11,(MID(P603,1,1)&amp;MID(P603,2,3)+1),CELL("address",AH603))</f>
        <v>$AH$603</v>
      </c>
      <c r="R603" s="106" t="str">
        <f ca="1">IF(J602&gt;=12,(MID(Q603,1,1)&amp;MID(Q603,2,3)+1),CELL("address",AI603))</f>
        <v>$AI$603</v>
      </c>
    </row>
    <row r="604" spans="1:24" ht="15" customHeight="1">
      <c r="A604" s="371"/>
      <c r="B604" s="372"/>
      <c r="C604" s="345"/>
      <c r="D604" s="82" t="s">
        <v>64</v>
      </c>
      <c r="E604" s="59">
        <v>0.17</v>
      </c>
      <c r="F604" s="98"/>
      <c r="G604" s="113" t="str">
        <f>CONCATENATE(D604," - ",E604,", ")</f>
        <v>Teen Patra scrap - 0.17, </v>
      </c>
      <c r="H604" s="116"/>
      <c r="I604" s="106"/>
      <c r="J604" s="106"/>
      <c r="K604" s="106"/>
      <c r="L604" s="106"/>
      <c r="M604" s="106"/>
      <c r="N604" s="106"/>
      <c r="O604" s="106"/>
      <c r="P604" s="106"/>
      <c r="Q604" s="106"/>
      <c r="R604" s="106"/>
      <c r="T604" s="358"/>
      <c r="U604" s="358"/>
      <c r="V604" s="358"/>
      <c r="W604" s="358"/>
      <c r="X604" s="358"/>
    </row>
    <row r="605" spans="1:24" ht="15" customHeight="1">
      <c r="A605" s="322"/>
      <c r="B605" s="323"/>
      <c r="C605" s="290"/>
      <c r="D605" s="41"/>
      <c r="E605" s="59"/>
      <c r="F605" s="98"/>
      <c r="G605" s="113"/>
      <c r="H605" s="111"/>
      <c r="T605" s="359"/>
      <c r="U605" s="359"/>
      <c r="V605" s="359"/>
      <c r="W605" s="359"/>
      <c r="X605" s="359"/>
    </row>
    <row r="606" spans="1:8" ht="15" customHeight="1">
      <c r="A606" s="332"/>
      <c r="B606" s="333"/>
      <c r="C606" s="41"/>
      <c r="D606" s="57"/>
      <c r="E606" s="264">
        <f>SUM(E608:E608)</f>
        <v>100</v>
      </c>
      <c r="F606" s="98"/>
      <c r="G606" s="113"/>
      <c r="H606" s="110"/>
    </row>
    <row r="607" spans="1:18" ht="15" customHeight="1">
      <c r="A607" s="320" t="s">
        <v>5</v>
      </c>
      <c r="B607" s="320"/>
      <c r="C607" s="41" t="s">
        <v>17</v>
      </c>
      <c r="D607" s="290" t="s">
        <v>18</v>
      </c>
      <c r="E607" s="40" t="s">
        <v>7</v>
      </c>
      <c r="F607" s="98"/>
      <c r="G607" s="273" t="str">
        <f>CONCATENATE("Misc. Iron Scrap, Lying at ",C608,". Quantity in MT - ")</f>
        <v>Misc. Iron Scrap, Lying at S &amp; T Store Bathinda. Quantity in MT - </v>
      </c>
      <c r="H607" s="319" t="str">
        <f ca="1">CONCATENATE(G607,G608,(INDIRECT(I608)),(INDIRECT(J608)),(INDIRECT(K608)),(INDIRECT(L608)),(INDIRECT(M608)),(INDIRECT(N608)),(INDIRECT(O608)),(INDIRECT(P608)),(INDIRECT(Q608)),(INDIRECT(R608)),".")</f>
        <v>Misc. Iron Scrap, Lying at S &amp; T Store Bathinda. Quantity in MT - MS Rail scrap - 100, .</v>
      </c>
      <c r="I607" s="106" t="str">
        <f aca="true" ca="1" t="array" ref="I607">CELL("address",INDEX(G607:G614,MATCH(TRUE,ISBLANK(G607:G614),0)))</f>
        <v>$G$609</v>
      </c>
      <c r="J607" s="106">
        <f aca="true" t="array" ref="J607">MATCH(TRUE,ISBLANK(G607:G614),0)</f>
        <v>3</v>
      </c>
      <c r="K607" s="106">
        <f>J607-3</f>
        <v>0</v>
      </c>
      <c r="L607" s="106"/>
      <c r="M607" s="106"/>
      <c r="N607" s="106"/>
      <c r="O607" s="106"/>
      <c r="P607" s="106"/>
      <c r="Q607" s="106"/>
      <c r="R607" s="106"/>
    </row>
    <row r="608" spans="1:18" ht="15" customHeight="1">
      <c r="A608" s="320" t="s">
        <v>67</v>
      </c>
      <c r="B608" s="320"/>
      <c r="C608" s="290" t="s">
        <v>57</v>
      </c>
      <c r="D608" s="41" t="s">
        <v>61</v>
      </c>
      <c r="E608" s="70">
        <v>100</v>
      </c>
      <c r="F608" s="98"/>
      <c r="G608" s="113" t="str">
        <f>CONCATENATE(D608," - ",E608,", ")</f>
        <v>MS Rail scrap - 100, </v>
      </c>
      <c r="H608" s="319"/>
      <c r="I608" s="106" t="str">
        <f ca="1">IF(J607&gt;=3,(MID(I607,2,1)&amp;MID(I607,4,3)-K607),CELL("address",Z608))</f>
        <v>G609</v>
      </c>
      <c r="J608" s="106" t="str">
        <f ca="1">IF(J607&gt;=4,(MID(I608,1,1)&amp;MID(I608,2,3)+1),CELL("address",AA608))</f>
        <v>$AA$608</v>
      </c>
      <c r="K608" s="106" t="str">
        <f ca="1">IF(J607&gt;=5,(MID(J608,1,1)&amp;MID(J608,2,3)+1),CELL("address",AB608))</f>
        <v>$AB$608</v>
      </c>
      <c r="L608" s="106" t="str">
        <f ca="1">IF(J607&gt;=6,(MID(K608,1,1)&amp;MID(K608,2,3)+1),CELL("address",AC608))</f>
        <v>$AC$608</v>
      </c>
      <c r="M608" s="106" t="str">
        <f ca="1">IF(J607&gt;=7,(MID(L608,1,1)&amp;MID(L608,2,3)+1),CELL("address",AD608))</f>
        <v>$AD$608</v>
      </c>
      <c r="N608" s="106" t="str">
        <f ca="1">IF(J607&gt;=8,(MID(M608,1,1)&amp;MID(M608,2,3)+1),CELL("address",AE608))</f>
        <v>$AE$608</v>
      </c>
      <c r="O608" s="106" t="str">
        <f ca="1">IF(J607&gt;=9,(MID(N608,1,1)&amp;MID(N608,2,3)+1),CELL("address",AF608))</f>
        <v>$AF$608</v>
      </c>
      <c r="P608" s="106" t="str">
        <f ca="1">IF(J607&gt;=10,(MID(O608,1,1)&amp;MID(O608,2,3)+1),CELL("address",AG608))</f>
        <v>$AG$608</v>
      </c>
      <c r="Q608" s="106" t="str">
        <f ca="1">IF(J607&gt;=11,(MID(P608,1,1)&amp;MID(P608,2,3)+1),CELL("address",AH608))</f>
        <v>$AH$608</v>
      </c>
      <c r="R608" s="106" t="str">
        <f ca="1">IF(J607&gt;=12,(MID(Q608,1,1)&amp;MID(Q608,2,3)+1),CELL("address",AI608))</f>
        <v>$AI$608</v>
      </c>
    </row>
    <row r="609" spans="1:8" ht="15" customHeight="1">
      <c r="A609" s="40"/>
      <c r="B609" s="42"/>
      <c r="C609" s="49"/>
      <c r="D609" s="42"/>
      <c r="E609" s="59"/>
      <c r="F609" s="98"/>
      <c r="G609" s="113"/>
      <c r="H609" s="111"/>
    </row>
    <row r="610" spans="1:8" ht="15" customHeight="1">
      <c r="A610" s="54"/>
      <c r="B610" s="55"/>
      <c r="C610" s="55"/>
      <c r="D610" s="57"/>
      <c r="E610" s="58">
        <f>SUM(E612:E617)</f>
        <v>9.852</v>
      </c>
      <c r="F610" s="98"/>
      <c r="G610" s="113"/>
      <c r="H610" s="110"/>
    </row>
    <row r="611" spans="1:18" ht="15" customHeight="1">
      <c r="A611" s="320" t="s">
        <v>5</v>
      </c>
      <c r="B611" s="320"/>
      <c r="C611" s="41" t="s">
        <v>17</v>
      </c>
      <c r="D611" s="290" t="s">
        <v>18</v>
      </c>
      <c r="E611" s="40" t="s">
        <v>7</v>
      </c>
      <c r="F611" s="98"/>
      <c r="G611" s="273" t="str">
        <f>CONCATENATE("Misc. Iron Scrap, Lying at ",C612,". Quantity in MT - ")</f>
        <v>Misc. Iron Scrap, Lying at CS Kotkapura. Quantity in MT - </v>
      </c>
      <c r="H611" s="319" t="str">
        <f ca="1">CONCATENATE(G611,G612,(INDIRECT(I612)),(INDIRECT(J612)),(INDIRECT(K612)),(INDIRECT(L612)),(INDIRECT(M612)),(INDIRECT(N612)),(INDIRECT(O612)),(INDIRECT(P612)),(INDIRECT(Q612)),(INDIRECT(R612)),".")</f>
        <v>Misc. Iron Scrap, Lying at CS Kotkapura. Quantity in MT - MS iron scrap - 4.418, Transformer body scrap - 3.835, Teen Patra scrap - 1.149, G.I. Scrap - 0.105, M.S. Nuts &amp; Bolts Scrap - 0.02, Tubular Poles scrap - 0.325, .</v>
      </c>
      <c r="I611" s="106" t="str">
        <f aca="true" ca="1" t="array" ref="I611">CELL("address",INDEX(G611:G618,MATCH(TRUE,ISBLANK(G611:G618),0)))</f>
        <v>$G$618</v>
      </c>
      <c r="J611" s="106">
        <f aca="true" t="array" ref="J611">MATCH(TRUE,ISBLANK(G611:G618),0)</f>
        <v>8</v>
      </c>
      <c r="K611" s="106">
        <f>J611-3</f>
        <v>5</v>
      </c>
      <c r="L611" s="106"/>
      <c r="M611" s="106"/>
      <c r="N611" s="106"/>
      <c r="O611" s="106"/>
      <c r="P611" s="106"/>
      <c r="Q611" s="106"/>
      <c r="R611" s="106"/>
    </row>
    <row r="612" spans="1:18" ht="15" customHeight="1">
      <c r="A612" s="320" t="s">
        <v>68</v>
      </c>
      <c r="B612" s="320"/>
      <c r="C612" s="321" t="s">
        <v>43</v>
      </c>
      <c r="D612" s="235" t="s">
        <v>29</v>
      </c>
      <c r="E612" s="291">
        <v>4.418</v>
      </c>
      <c r="F612" s="98">
        <v>3.596</v>
      </c>
      <c r="G612" s="113" t="str">
        <f aca="true" t="shared" si="3" ref="G612:G617">CONCATENATE(D612," - ",E612,", ")</f>
        <v>MS iron scrap - 4.418, </v>
      </c>
      <c r="H612" s="319"/>
      <c r="I612" s="106" t="str">
        <f ca="1">IF(J611&gt;=3,(MID(I611,2,1)&amp;MID(I611,4,3)-K611),CELL("address",Z612))</f>
        <v>G613</v>
      </c>
      <c r="J612" s="106" t="str">
        <f ca="1">IF(J611&gt;=4,(MID(I612,1,1)&amp;MID(I612,2,3)+1),CELL("address",AA612))</f>
        <v>G614</v>
      </c>
      <c r="K612" s="106" t="str">
        <f ca="1">IF(J611&gt;=5,(MID(J612,1,1)&amp;MID(J612,2,3)+1),CELL("address",AB612))</f>
        <v>G615</v>
      </c>
      <c r="L612" s="106" t="str">
        <f ca="1">IF(J611&gt;=6,(MID(K612,1,1)&amp;MID(K612,2,3)+1),CELL("address",AC612))</f>
        <v>G616</v>
      </c>
      <c r="M612" s="106" t="str">
        <f ca="1">IF(J611&gt;=7,(MID(L612,1,1)&amp;MID(L612,2,3)+1),CELL("address",AD612))</f>
        <v>G617</v>
      </c>
      <c r="N612" s="106" t="str">
        <f ca="1">IF(J611&gt;=8,(MID(M612,1,1)&amp;MID(M612,2,3)+1),CELL("address",AE612))</f>
        <v>G618</v>
      </c>
      <c r="O612" s="106" t="str">
        <f ca="1">IF(J611&gt;=9,(MID(N612,1,1)&amp;MID(N612,2,3)+1),CELL("address",AF612))</f>
        <v>$AF$612</v>
      </c>
      <c r="P612" s="106" t="str">
        <f ca="1">IF(J611&gt;=10,(MID(O612,1,1)&amp;MID(O612,2,3)+1),CELL("address",AG612))</f>
        <v>$AG$612</v>
      </c>
      <c r="Q612" s="106" t="str">
        <f ca="1">IF(J611&gt;=11,(MID(P612,1,1)&amp;MID(P612,2,3)+1),CELL("address",AH612))</f>
        <v>$AH$612</v>
      </c>
      <c r="R612" s="106" t="str">
        <f ca="1">IF(J611&gt;=12,(MID(Q612,1,1)&amp;MID(Q612,2,3)+1),CELL("address",AI612))</f>
        <v>$AI$612</v>
      </c>
    </row>
    <row r="613" spans="1:8" ht="15" customHeight="1">
      <c r="A613" s="320"/>
      <c r="B613" s="320"/>
      <c r="C613" s="321"/>
      <c r="D613" s="236" t="s">
        <v>60</v>
      </c>
      <c r="E613" s="291">
        <v>3.835</v>
      </c>
      <c r="F613" s="98">
        <v>2.973</v>
      </c>
      <c r="G613" s="113" t="str">
        <f t="shared" si="3"/>
        <v>Transformer body scrap - 3.835, </v>
      </c>
      <c r="H613" s="110"/>
    </row>
    <row r="614" spans="1:8" ht="15" customHeight="1">
      <c r="A614" s="320"/>
      <c r="B614" s="320"/>
      <c r="C614" s="321"/>
      <c r="D614" s="236" t="s">
        <v>64</v>
      </c>
      <c r="E614" s="291">
        <v>1.149</v>
      </c>
      <c r="F614" s="98">
        <v>0.878</v>
      </c>
      <c r="G614" s="113" t="str">
        <f t="shared" si="3"/>
        <v>Teen Patra scrap - 1.149, </v>
      </c>
      <c r="H614" s="110"/>
    </row>
    <row r="615" spans="1:8" ht="15" customHeight="1">
      <c r="A615" s="320"/>
      <c r="B615" s="320"/>
      <c r="C615" s="321"/>
      <c r="D615" s="236" t="s">
        <v>198</v>
      </c>
      <c r="E615" s="291">
        <v>0.105</v>
      </c>
      <c r="F615" s="98">
        <v>0.048</v>
      </c>
      <c r="G615" s="113" t="str">
        <f t="shared" si="3"/>
        <v>G.I. Scrap - 0.105, </v>
      </c>
      <c r="H615" s="110"/>
    </row>
    <row r="616" spans="1:8" ht="15" customHeight="1">
      <c r="A616" s="320"/>
      <c r="B616" s="320"/>
      <c r="C616" s="321"/>
      <c r="D616" s="82" t="s">
        <v>199</v>
      </c>
      <c r="E616" s="59">
        <v>0.02</v>
      </c>
      <c r="F616" s="98"/>
      <c r="G616" s="113" t="str">
        <f t="shared" si="3"/>
        <v>M.S. Nuts &amp; Bolts Scrap - 0.02, </v>
      </c>
      <c r="H616" s="110"/>
    </row>
    <row r="617" spans="1:8" ht="15" customHeight="1">
      <c r="A617" s="320"/>
      <c r="B617" s="320"/>
      <c r="C617" s="321"/>
      <c r="D617" s="235" t="s">
        <v>466</v>
      </c>
      <c r="E617" s="291">
        <v>0.325</v>
      </c>
      <c r="F617" s="98" t="s">
        <v>322</v>
      </c>
      <c r="G617" s="113" t="str">
        <f t="shared" si="3"/>
        <v>Tubular Poles scrap - 0.325, </v>
      </c>
      <c r="H617" s="110"/>
    </row>
    <row r="618" spans="1:8" ht="15" customHeight="1">
      <c r="A618" s="40"/>
      <c r="B618" s="42"/>
      <c r="C618" s="49"/>
      <c r="D618" s="289"/>
      <c r="E618" s="291"/>
      <c r="F618" s="98"/>
      <c r="G618" s="113"/>
      <c r="H618" s="110"/>
    </row>
    <row r="619" spans="1:8" ht="15" customHeight="1">
      <c r="A619" s="54"/>
      <c r="B619" s="55"/>
      <c r="C619" s="55"/>
      <c r="D619" s="57"/>
      <c r="E619" s="58">
        <f>SUM(E621:E622)</f>
        <v>6.142</v>
      </c>
      <c r="F619" s="98"/>
      <c r="G619" s="113"/>
      <c r="H619" s="110"/>
    </row>
    <row r="620" spans="1:18" ht="15" customHeight="1">
      <c r="A620" s="330" t="s">
        <v>5</v>
      </c>
      <c r="B620" s="330"/>
      <c r="C620" s="71" t="s">
        <v>17</v>
      </c>
      <c r="D620" s="290" t="s">
        <v>18</v>
      </c>
      <c r="E620" s="40" t="s">
        <v>7</v>
      </c>
      <c r="F620" s="98"/>
      <c r="G620" s="273" t="str">
        <f>CONCATENATE("Misc. Iron Scrap, Lying at ",C621,". Quantity in MT - ")</f>
        <v>Misc. Iron Scrap, Lying at OL Bhagta Bhai Ka. Quantity in MT - </v>
      </c>
      <c r="H620" s="319" t="str">
        <f ca="1">CONCATENATE(G620,G621,(INDIRECT(I621)),(INDIRECT(J621)),(INDIRECT(K621)),(INDIRECT(L621)),(INDIRECT(M621)),(INDIRECT(N621)),(INDIRECT(O621)),(INDIRECT(P621)),(INDIRECT(Q621)),(INDIRECT(R621)),".")</f>
        <v>Misc. Iron Scrap, Lying at OL Bhagta Bhai Ka. Quantity in MT - MS iron scrap - 0.884, Transformer body scrap - 5.258, .</v>
      </c>
      <c r="I620" s="106" t="str">
        <f aca="true" ca="1" t="array" ref="I620">CELL("address",INDEX(G620:G776,MATCH(TRUE,ISBLANK(G620:G776),0)))</f>
        <v>$G$623</v>
      </c>
      <c r="J620" s="106">
        <f aca="true" t="array" ref="J620">MATCH(TRUE,ISBLANK(G620:G776),0)</f>
        <v>4</v>
      </c>
      <c r="K620" s="106">
        <f>J620-3</f>
        <v>1</v>
      </c>
      <c r="L620" s="106"/>
      <c r="M620" s="106"/>
      <c r="N620" s="106"/>
      <c r="O620" s="106"/>
      <c r="P620" s="106"/>
      <c r="Q620" s="106"/>
      <c r="R620" s="106"/>
    </row>
    <row r="621" spans="1:18" ht="15" customHeight="1">
      <c r="A621" s="320" t="s">
        <v>175</v>
      </c>
      <c r="B621" s="320"/>
      <c r="C621" s="321" t="s">
        <v>100</v>
      </c>
      <c r="D621" s="310" t="s">
        <v>29</v>
      </c>
      <c r="E621" s="312">
        <v>0.884</v>
      </c>
      <c r="F621" s="98"/>
      <c r="G621" s="113" t="str">
        <f>CONCATENATE(D621," - ",E621,", ")</f>
        <v>MS iron scrap - 0.884, </v>
      </c>
      <c r="H621" s="319"/>
      <c r="I621" s="106" t="str">
        <f ca="1">IF(J620&gt;=3,(MID(I620,2,1)&amp;MID(I620,4,3)-K620),CELL("address",Z621))</f>
        <v>G622</v>
      </c>
      <c r="J621" s="106" t="str">
        <f ca="1">IF(J620&gt;=4,(MID(I621,1,1)&amp;MID(I621,2,3)+1),CELL("address",AA621))</f>
        <v>G623</v>
      </c>
      <c r="K621" s="106" t="str">
        <f ca="1">IF(J620&gt;=5,(MID(J621,1,1)&amp;MID(J621,2,3)+1),CELL("address",AB621))</f>
        <v>$AB$621</v>
      </c>
      <c r="L621" s="106" t="str">
        <f ca="1">IF(J620&gt;=6,(MID(K621,1,1)&amp;MID(K621,2,3)+1),CELL("address",AC621))</f>
        <v>$AC$621</v>
      </c>
      <c r="M621" s="106" t="str">
        <f ca="1">IF(J620&gt;=7,(MID(L621,1,1)&amp;MID(L621,2,3)+1),CELL("address",AD621))</f>
        <v>$AD$621</v>
      </c>
      <c r="N621" s="106" t="str">
        <f ca="1">IF(J620&gt;=8,(MID(M621,1,1)&amp;MID(M621,2,3)+1),CELL("address",AE621))</f>
        <v>$AE$621</v>
      </c>
      <c r="O621" s="106" t="str">
        <f ca="1">IF(J620&gt;=9,(MID(N621,1,1)&amp;MID(N621,2,3)+1),CELL("address",AF621))</f>
        <v>$AF$621</v>
      </c>
      <c r="P621" s="106" t="str">
        <f ca="1">IF(J620&gt;=10,(MID(O621,1,1)&amp;MID(O621,2,3)+1),CELL("address",AG621))</f>
        <v>$AG$621</v>
      </c>
      <c r="Q621" s="106" t="str">
        <f ca="1">IF(J620&gt;=11,(MID(P621,1,1)&amp;MID(P621,2,3)+1),CELL("address",AH621))</f>
        <v>$AH$621</v>
      </c>
      <c r="R621" s="106" t="str">
        <f ca="1">IF(J620&gt;=12,(MID(Q621,1,1)&amp;MID(Q621,2,3)+1),CELL("address",AI621))</f>
        <v>$AI$621</v>
      </c>
    </row>
    <row r="622" spans="1:8" ht="15" customHeight="1">
      <c r="A622" s="320"/>
      <c r="B622" s="320"/>
      <c r="C622" s="321"/>
      <c r="D622" s="35" t="s">
        <v>60</v>
      </c>
      <c r="E622" s="312">
        <v>5.258</v>
      </c>
      <c r="F622" s="98"/>
      <c r="G622" s="113" t="str">
        <f>CONCATENATE(D622," - ",E622,", ")</f>
        <v>Transformer body scrap - 5.258, </v>
      </c>
      <c r="H622" s="110"/>
    </row>
    <row r="623" spans="1:8" ht="15" customHeight="1">
      <c r="A623" s="40"/>
      <c r="B623" s="42"/>
      <c r="C623" s="49"/>
      <c r="D623" s="289"/>
      <c r="E623" s="291"/>
      <c r="F623" s="98"/>
      <c r="G623" s="113"/>
      <c r="H623" s="110"/>
    </row>
    <row r="624" spans="1:8" ht="15" customHeight="1">
      <c r="A624" s="54"/>
      <c r="B624" s="55"/>
      <c r="C624" s="55"/>
      <c r="D624" s="57"/>
      <c r="E624" s="58">
        <f>SUM(E626:E628)</f>
        <v>3.256</v>
      </c>
      <c r="F624" s="98"/>
      <c r="G624" s="113"/>
      <c r="H624" s="110"/>
    </row>
    <row r="625" spans="1:18" ht="15" customHeight="1">
      <c r="A625" s="330" t="s">
        <v>5</v>
      </c>
      <c r="B625" s="330"/>
      <c r="C625" s="71" t="s">
        <v>17</v>
      </c>
      <c r="D625" s="290" t="s">
        <v>18</v>
      </c>
      <c r="E625" s="40" t="s">
        <v>7</v>
      </c>
      <c r="F625" s="98"/>
      <c r="G625" s="273" t="str">
        <f>CONCATENATE("Misc. Iron Scrap, Lying at ",C626,". Quantity in MT - ")</f>
        <v>Misc. Iron Scrap, Lying at OL Shri Mukfsar Sahib. Quantity in MT - </v>
      </c>
      <c r="H625" s="319" t="str">
        <f ca="1">CONCATENATE(G625,G626,(INDIRECT(I626)),(INDIRECT(J626)),(INDIRECT(K626)),(INDIRECT(L626)),(INDIRECT(M626)),(INDIRECT(N626)),(INDIRECT(O626)),(INDIRECT(P626)),(INDIRECT(Q626)),(INDIRECT(R626)),".")</f>
        <v>Misc. Iron Scrap, Lying at OL Shri Mukfsar Sahib. Quantity in MT - MS iron scrap - 0.764, Transformer body scrap - 2.302, G.I. scrap - 0.19, .</v>
      </c>
      <c r="I625" s="106" t="str">
        <f aca="true" ca="1" t="array" ref="I625">CELL("address",INDEX(G625:G781,MATCH(TRUE,ISBLANK(G625:G781),0)))</f>
        <v>$G$629</v>
      </c>
      <c r="J625" s="106">
        <f aca="true" t="array" ref="J625">MATCH(TRUE,ISBLANK(G625:G781),0)</f>
        <v>5</v>
      </c>
      <c r="K625" s="106">
        <f>J625-3</f>
        <v>2</v>
      </c>
      <c r="L625" s="106"/>
      <c r="M625" s="106"/>
      <c r="N625" s="106"/>
      <c r="O625" s="106"/>
      <c r="P625" s="106"/>
      <c r="Q625" s="106"/>
      <c r="R625" s="106"/>
    </row>
    <row r="626" spans="1:18" ht="15" customHeight="1">
      <c r="A626" s="320" t="s">
        <v>119</v>
      </c>
      <c r="B626" s="320"/>
      <c r="C626" s="321" t="s">
        <v>330</v>
      </c>
      <c r="D626" s="43" t="s">
        <v>29</v>
      </c>
      <c r="E626" s="70">
        <v>0.764</v>
      </c>
      <c r="F626" s="98"/>
      <c r="G626" s="113" t="str">
        <f>CONCATENATE(D626," - ",E626,", ")</f>
        <v>MS iron scrap - 0.764, </v>
      </c>
      <c r="H626" s="319"/>
      <c r="I626" s="106" t="str">
        <f ca="1">IF(J625&gt;=3,(MID(I625,2,1)&amp;MID(I625,4,3)-K625),CELL("address",Z626))</f>
        <v>G627</v>
      </c>
      <c r="J626" s="106" t="str">
        <f ca="1">IF(J625&gt;=4,(MID(I626,1,1)&amp;MID(I626,2,3)+1),CELL("address",AA626))</f>
        <v>G628</v>
      </c>
      <c r="K626" s="106" t="str">
        <f ca="1">IF(J625&gt;=5,(MID(J626,1,1)&amp;MID(J626,2,3)+1),CELL("address",AB626))</f>
        <v>G629</v>
      </c>
      <c r="L626" s="106" t="str">
        <f ca="1">IF(J625&gt;=6,(MID(K626,1,1)&amp;MID(K626,2,3)+1),CELL("address",AC626))</f>
        <v>$AC$626</v>
      </c>
      <c r="M626" s="106" t="str">
        <f ca="1">IF(J625&gt;=7,(MID(L626,1,1)&amp;MID(L626,2,3)+1),CELL("address",AD626))</f>
        <v>$AD$626</v>
      </c>
      <c r="N626" s="106" t="str">
        <f ca="1">IF(J625&gt;=8,(MID(M626,1,1)&amp;MID(M626,2,3)+1),CELL("address",AE626))</f>
        <v>$AE$626</v>
      </c>
      <c r="O626" s="106" t="str">
        <f ca="1">IF(J625&gt;=9,(MID(N626,1,1)&amp;MID(N626,2,3)+1),CELL("address",AF626))</f>
        <v>$AF$626</v>
      </c>
      <c r="P626" s="106" t="str">
        <f ca="1">IF(J625&gt;=10,(MID(O626,1,1)&amp;MID(O626,2,3)+1),CELL("address",AG626))</f>
        <v>$AG$626</v>
      </c>
      <c r="Q626" s="106" t="str">
        <f ca="1">IF(J625&gt;=11,(MID(P626,1,1)&amp;MID(P626,2,3)+1),CELL("address",AH626))</f>
        <v>$AH$626</v>
      </c>
      <c r="R626" s="106" t="str">
        <f ca="1">IF(J625&gt;=12,(MID(Q626,1,1)&amp;MID(Q626,2,3)+1),CELL("address",AI626))</f>
        <v>$AI$626</v>
      </c>
    </row>
    <row r="627" spans="1:8" ht="15" customHeight="1">
      <c r="A627" s="320"/>
      <c r="B627" s="320"/>
      <c r="C627" s="321"/>
      <c r="D627" s="82" t="s">
        <v>60</v>
      </c>
      <c r="E627" s="70">
        <v>2.302</v>
      </c>
      <c r="F627" s="98"/>
      <c r="G627" s="113" t="str">
        <f>CONCATENATE(D627," - ",E627,", ")</f>
        <v>Transformer body scrap - 2.302, </v>
      </c>
      <c r="H627" s="110"/>
    </row>
    <row r="628" spans="1:8" ht="15" customHeight="1">
      <c r="A628" s="320"/>
      <c r="B628" s="320"/>
      <c r="C628" s="321"/>
      <c r="D628" s="82" t="s">
        <v>193</v>
      </c>
      <c r="E628" s="59">
        <v>0.19</v>
      </c>
      <c r="F628" s="98"/>
      <c r="G628" s="113" t="str">
        <f>CONCATENATE(D628," - ",E628,", ")</f>
        <v>G.I. scrap - 0.19, </v>
      </c>
      <c r="H628" s="110"/>
    </row>
    <row r="629" spans="1:8" ht="15" customHeight="1">
      <c r="A629" s="40"/>
      <c r="B629" s="42"/>
      <c r="C629" s="49"/>
      <c r="D629" s="289"/>
      <c r="E629" s="291"/>
      <c r="F629" s="98"/>
      <c r="G629" s="101"/>
      <c r="H629" s="110"/>
    </row>
    <row r="630" spans="1:8" ht="15" customHeight="1">
      <c r="A630" s="54"/>
      <c r="B630" s="55"/>
      <c r="C630" s="55"/>
      <c r="D630" s="57"/>
      <c r="E630" s="58">
        <f>SUM(E632:E632)</f>
        <v>0.148</v>
      </c>
      <c r="F630" s="98"/>
      <c r="G630" s="101"/>
      <c r="H630" s="110"/>
    </row>
    <row r="631" spans="1:18" ht="15" customHeight="1">
      <c r="A631" s="330" t="s">
        <v>5</v>
      </c>
      <c r="B631" s="330"/>
      <c r="C631" s="71" t="s">
        <v>17</v>
      </c>
      <c r="D631" s="290" t="s">
        <v>18</v>
      </c>
      <c r="E631" s="40" t="s">
        <v>7</v>
      </c>
      <c r="F631" s="98"/>
      <c r="G631" s="274" t="str">
        <f>CONCATENATE("Misc. Iron Scrap, Lying at ",C632,". Quantity in MT - ")</f>
        <v>Misc. Iron Scrap, Lying at OL Rajpura. Quantity in MT - </v>
      </c>
      <c r="H631" s="319" t="str">
        <f ca="1">CONCATENATE(G631,G632,(INDIRECT(I632)),(INDIRECT(J632)),(INDIRECT(K632)),(INDIRECT(L632)),(INDIRECT(M632)),(INDIRECT(N632)),(INDIRECT(O632)),(INDIRECT(P632)),(INDIRECT(Q632)),(INDIRECT(R632)),".")</f>
        <v>Misc. Iron Scrap, Lying at OL Rajpura. Quantity in MT - MS iron scrap - 0.148, .</v>
      </c>
      <c r="I631" s="106" t="str">
        <f aca="true" ca="1" t="array" ref="I631">CELL("address",INDEX(G631:G800,MATCH(TRUE,ISBLANK(G631:G800),0)))</f>
        <v>$G$633</v>
      </c>
      <c r="J631" s="106">
        <f aca="true" t="array" ref="J631">MATCH(TRUE,ISBLANK(G631:G800),0)</f>
        <v>3</v>
      </c>
      <c r="K631" s="106">
        <f>J631-3</f>
        <v>0</v>
      </c>
      <c r="L631" s="106"/>
      <c r="M631" s="106"/>
      <c r="N631" s="106"/>
      <c r="O631" s="106"/>
      <c r="P631" s="106"/>
      <c r="Q631" s="106"/>
      <c r="R631" s="106"/>
    </row>
    <row r="632" spans="1:18" ht="15" customHeight="1">
      <c r="A632" s="320" t="s">
        <v>200</v>
      </c>
      <c r="B632" s="320"/>
      <c r="C632" s="290" t="s">
        <v>103</v>
      </c>
      <c r="D632" s="43" t="s">
        <v>29</v>
      </c>
      <c r="E632" s="70">
        <v>0.148</v>
      </c>
      <c r="F632" s="98"/>
      <c r="G632" s="275" t="str">
        <f>CONCATENATE(D632," - ",E632,", ")</f>
        <v>MS iron scrap - 0.148, </v>
      </c>
      <c r="H632" s="319"/>
      <c r="I632" s="106" t="str">
        <f ca="1">IF(J631&gt;=3,(MID(I631,2,1)&amp;MID(I631,4,3)-K631),CELL("address",Z632))</f>
        <v>G633</v>
      </c>
      <c r="J632" s="106" t="str">
        <f ca="1">IF(J631&gt;=4,(MID(I632,1,1)&amp;MID(I632,2,3)+1),CELL("address",AA632))</f>
        <v>$AA$632</v>
      </c>
      <c r="K632" s="106" t="str">
        <f ca="1">IF(J631&gt;=5,(MID(J632,1,1)&amp;MID(J632,2,3)+1),CELL("address",AB632))</f>
        <v>$AB$632</v>
      </c>
      <c r="L632" s="106" t="str">
        <f ca="1">IF(J631&gt;=6,(MID(K632,1,1)&amp;MID(K632,2,3)+1),CELL("address",AC632))</f>
        <v>$AC$632</v>
      </c>
      <c r="M632" s="106" t="str">
        <f ca="1">IF(J631&gt;=7,(MID(L632,1,1)&amp;MID(L632,2,3)+1),CELL("address",AD632))</f>
        <v>$AD$632</v>
      </c>
      <c r="N632" s="106" t="str">
        <f ca="1">IF(J631&gt;=8,(MID(M632,1,1)&amp;MID(M632,2,3)+1),CELL("address",AE632))</f>
        <v>$AE$632</v>
      </c>
      <c r="O632" s="106" t="str">
        <f ca="1">IF(J631&gt;=9,(MID(N632,1,1)&amp;MID(N632,2,3)+1),CELL("address",AF632))</f>
        <v>$AF$632</v>
      </c>
      <c r="P632" s="106" t="str">
        <f ca="1">IF(J631&gt;=10,(MID(O632,1,1)&amp;MID(O632,2,3)+1),CELL("address",AG632))</f>
        <v>$AG$632</v>
      </c>
      <c r="Q632" s="106" t="str">
        <f ca="1">IF(J631&gt;=11,(MID(P632,1,1)&amp;MID(P632,2,3)+1),CELL("address",AH632))</f>
        <v>$AH$632</v>
      </c>
      <c r="R632" s="106" t="str">
        <f ca="1">IF(J631&gt;=12,(MID(Q632,1,1)&amp;MID(Q632,2,3)+1),CELL("address",AI632))</f>
        <v>$AI$632</v>
      </c>
    </row>
    <row r="633" spans="1:18" ht="15" customHeight="1">
      <c r="A633" s="40"/>
      <c r="B633" s="42"/>
      <c r="C633" s="49"/>
      <c r="D633" s="42"/>
      <c r="E633" s="59"/>
      <c r="F633" s="98"/>
      <c r="G633" s="101"/>
      <c r="H633" s="116"/>
      <c r="I633" s="106"/>
      <c r="J633" s="106"/>
      <c r="K633" s="106"/>
      <c r="L633" s="106"/>
      <c r="M633" s="106"/>
      <c r="N633" s="106"/>
      <c r="O633" s="106"/>
      <c r="P633" s="106"/>
      <c r="Q633" s="106"/>
      <c r="R633" s="106"/>
    </row>
    <row r="634" spans="1:18" ht="15" customHeight="1">
      <c r="A634" s="54"/>
      <c r="B634" s="55"/>
      <c r="C634" s="55"/>
      <c r="D634" s="57"/>
      <c r="E634" s="58">
        <f>SUM(E636:E636)</f>
        <v>2</v>
      </c>
      <c r="F634" s="98"/>
      <c r="G634" s="101"/>
      <c r="H634" s="116"/>
      <c r="I634" s="106"/>
      <c r="J634" s="106"/>
      <c r="K634" s="106"/>
      <c r="L634" s="106"/>
      <c r="M634" s="106"/>
      <c r="N634" s="106"/>
      <c r="O634" s="106"/>
      <c r="P634" s="106"/>
      <c r="Q634" s="106"/>
      <c r="R634" s="106"/>
    </row>
    <row r="635" spans="1:18" ht="15" customHeight="1">
      <c r="A635" s="330" t="s">
        <v>5</v>
      </c>
      <c r="B635" s="330"/>
      <c r="C635" s="71" t="s">
        <v>17</v>
      </c>
      <c r="D635" s="290" t="s">
        <v>18</v>
      </c>
      <c r="E635" s="40" t="s">
        <v>69</v>
      </c>
      <c r="F635" s="98"/>
      <c r="G635" s="274" t="str">
        <f>CONCATENATE("U/S Tyres, Lying at ",C636,". Quantity in No - ")</f>
        <v>U/S Tyres, Lying at CS Sangrur. Quantity in No - </v>
      </c>
      <c r="H635" s="319" t="str">
        <f ca="1">CONCATENATE(G635,G636,(INDIRECT(I636)),(INDIRECT(J636)),(INDIRECT(K636)),(INDIRECT(L636)),(INDIRECT(M636)),(INDIRECT(N636)),(INDIRECT(O636)),(INDIRECT(P636)),(INDIRECT(Q636)),(INDIRECT(R636)),".")</f>
        <v>U/S Tyres, Lying at CS Sangrur. Quantity in No - U/S Tyres - 2, .</v>
      </c>
      <c r="I635" s="106" t="str">
        <f aca="true" ca="1" t="array" ref="I635">CELL("address",INDEX(G635:G804,MATCH(TRUE,ISBLANK(G635:G804),0)))</f>
        <v>$G$637</v>
      </c>
      <c r="J635" s="106">
        <f aca="true" t="array" ref="J635">MATCH(TRUE,ISBLANK(G635:G804),0)</f>
        <v>3</v>
      </c>
      <c r="K635" s="106">
        <f>J635-3</f>
        <v>0</v>
      </c>
      <c r="L635" s="106"/>
      <c r="M635" s="106"/>
      <c r="N635" s="106"/>
      <c r="O635" s="106"/>
      <c r="P635" s="106"/>
      <c r="Q635" s="106"/>
      <c r="R635" s="106"/>
    </row>
    <row r="636" spans="1:18" ht="15" customHeight="1">
      <c r="A636" s="320" t="s">
        <v>207</v>
      </c>
      <c r="B636" s="320"/>
      <c r="C636" s="290" t="s">
        <v>79</v>
      </c>
      <c r="D636" s="43" t="s">
        <v>385</v>
      </c>
      <c r="E636" s="70">
        <v>2</v>
      </c>
      <c r="F636" s="98"/>
      <c r="G636" s="275" t="str">
        <f>CONCATENATE(D636," - ",E636,", ")</f>
        <v>U/S Tyres - 2, </v>
      </c>
      <c r="H636" s="319"/>
      <c r="I636" s="106" t="str">
        <f ca="1">IF(J635&gt;=3,(MID(I635,2,1)&amp;MID(I635,4,3)-K635),CELL("address",Z636))</f>
        <v>G637</v>
      </c>
      <c r="J636" s="106" t="str">
        <f ca="1">IF(J635&gt;=4,(MID(I636,1,1)&amp;MID(I636,2,3)+1),CELL("address",AA636))</f>
        <v>$AA$636</v>
      </c>
      <c r="K636" s="106" t="str">
        <f ca="1">IF(J635&gt;=5,(MID(J636,1,1)&amp;MID(J636,2,3)+1),CELL("address",AB636))</f>
        <v>$AB$636</v>
      </c>
      <c r="L636" s="106" t="str">
        <f ca="1">IF(J635&gt;=6,(MID(K636,1,1)&amp;MID(K636,2,3)+1),CELL("address",AC636))</f>
        <v>$AC$636</v>
      </c>
      <c r="M636" s="106" t="str">
        <f ca="1">IF(J635&gt;=7,(MID(L636,1,1)&amp;MID(L636,2,3)+1),CELL("address",AD636))</f>
        <v>$AD$636</v>
      </c>
      <c r="N636" s="106" t="str">
        <f ca="1">IF(J635&gt;=8,(MID(M636,1,1)&amp;MID(M636,2,3)+1),CELL("address",AE636))</f>
        <v>$AE$636</v>
      </c>
      <c r="O636" s="106" t="str">
        <f ca="1">IF(J635&gt;=9,(MID(N636,1,1)&amp;MID(N636,2,3)+1),CELL("address",AF636))</f>
        <v>$AF$636</v>
      </c>
      <c r="P636" s="106" t="str">
        <f ca="1">IF(J635&gt;=10,(MID(O636,1,1)&amp;MID(O636,2,3)+1),CELL("address",AG636))</f>
        <v>$AG$636</v>
      </c>
      <c r="Q636" s="106" t="str">
        <f ca="1">IF(J635&gt;=11,(MID(P636,1,1)&amp;MID(P636,2,3)+1),CELL("address",AH636))</f>
        <v>$AH$636</v>
      </c>
      <c r="R636" s="106" t="str">
        <f ca="1">IF(J635&gt;=12,(MID(Q636,1,1)&amp;MID(Q636,2,3)+1),CELL("address",AI636))</f>
        <v>$AI$636</v>
      </c>
    </row>
    <row r="637" spans="1:18" ht="15" customHeight="1">
      <c r="A637" s="40"/>
      <c r="B637" s="42"/>
      <c r="C637" s="49"/>
      <c r="D637" s="42"/>
      <c r="E637" s="59"/>
      <c r="F637" s="98"/>
      <c r="G637" s="101"/>
      <c r="H637" s="116"/>
      <c r="I637" s="106"/>
      <c r="J637" s="106"/>
      <c r="K637" s="106"/>
      <c r="L637" s="106"/>
      <c r="M637" s="106"/>
      <c r="N637" s="106"/>
      <c r="O637" s="106"/>
      <c r="P637" s="106"/>
      <c r="Q637" s="106"/>
      <c r="R637" s="106"/>
    </row>
    <row r="638" spans="1:18" ht="15" customHeight="1">
      <c r="A638" s="54"/>
      <c r="B638" s="55"/>
      <c r="C638" s="55"/>
      <c r="D638" s="57"/>
      <c r="E638" s="58">
        <f>SUM(E640:E641)</f>
        <v>105</v>
      </c>
      <c r="F638" s="98"/>
      <c r="G638" s="101"/>
      <c r="H638" s="116"/>
      <c r="I638" s="106"/>
      <c r="J638" s="106"/>
      <c r="K638" s="106"/>
      <c r="L638" s="106"/>
      <c r="M638" s="106"/>
      <c r="N638" s="106"/>
      <c r="O638" s="106"/>
      <c r="P638" s="106"/>
      <c r="Q638" s="106"/>
      <c r="R638" s="106"/>
    </row>
    <row r="639" spans="1:18" ht="15" customHeight="1">
      <c r="A639" s="330" t="s">
        <v>5</v>
      </c>
      <c r="B639" s="330"/>
      <c r="C639" s="71" t="s">
        <v>17</v>
      </c>
      <c r="D639" s="290" t="s">
        <v>18</v>
      </c>
      <c r="E639" s="40" t="s">
        <v>69</v>
      </c>
      <c r="F639" s="98"/>
      <c r="G639" s="274" t="str">
        <f>CONCATENATE("U/S Tyres/Tubes, Lying at ",C640,". Quantity in No - ")</f>
        <v>U/S Tyres/Tubes, Lying at CS Patiala. Quantity in No - </v>
      </c>
      <c r="H639" s="319" t="str">
        <f ca="1">CONCATENATE(G639,G640,(INDIRECT(I640)),(INDIRECT(J640)),(INDIRECT(K640)),(INDIRECT(L640)),(INDIRECT(M640)),(INDIRECT(N640)),(INDIRECT(O640)),(INDIRECT(P640)),(INDIRECT(Q640)),(INDIRECT(R640)),".")</f>
        <v>U/S Tyres/Tubes, Lying at CS Patiala. Quantity in No - U/S Tyres - 60, U/S Tubes - 45, .</v>
      </c>
      <c r="I639" s="106" t="str">
        <f aca="true" ca="1" t="array" ref="I639">CELL("address",INDEX(G639:G805,MATCH(TRUE,ISBLANK(G639:G805),0)))</f>
        <v>$G$642</v>
      </c>
      <c r="J639" s="106">
        <f aca="true" t="array" ref="J639">MATCH(TRUE,ISBLANK(G639:G805),0)</f>
        <v>4</v>
      </c>
      <c r="K639" s="106">
        <f>J639-3</f>
        <v>1</v>
      </c>
      <c r="L639" s="106"/>
      <c r="M639" s="106"/>
      <c r="N639" s="106"/>
      <c r="O639" s="106"/>
      <c r="P639" s="106"/>
      <c r="Q639" s="106"/>
      <c r="R639" s="106"/>
    </row>
    <row r="640" spans="1:18" ht="15" customHeight="1">
      <c r="A640" s="320" t="s">
        <v>208</v>
      </c>
      <c r="B640" s="320"/>
      <c r="C640" s="321" t="s">
        <v>52</v>
      </c>
      <c r="D640" s="41" t="s">
        <v>385</v>
      </c>
      <c r="E640" s="265">
        <v>60</v>
      </c>
      <c r="F640" s="98"/>
      <c r="G640" s="275" t="str">
        <f>CONCATENATE(D640," - ",E640,", ")</f>
        <v>U/S Tyres - 60, </v>
      </c>
      <c r="H640" s="319"/>
      <c r="I640" s="106" t="str">
        <f ca="1">IF(J639&gt;=3,(MID(I639,2,1)&amp;MID(I639,4,3)-K639),CELL("address",Z640))</f>
        <v>G641</v>
      </c>
      <c r="J640" s="106" t="str">
        <f ca="1">IF(J639&gt;=4,(MID(I640,1,1)&amp;MID(I640,2,3)+1),CELL("address",AA640))</f>
        <v>G642</v>
      </c>
      <c r="K640" s="106" t="str">
        <f ca="1">IF(J639&gt;=5,(MID(J640,1,1)&amp;MID(J640,2,3)+1),CELL("address",AB640))</f>
        <v>$AB$640</v>
      </c>
      <c r="L640" s="106" t="str">
        <f ca="1">IF(J639&gt;=6,(MID(K640,1,1)&amp;MID(K640,2,3)+1),CELL("address",AC640))</f>
        <v>$AC$640</v>
      </c>
      <c r="M640" s="106" t="str">
        <f ca="1">IF(J639&gt;=7,(MID(L640,1,1)&amp;MID(L640,2,3)+1),CELL("address",AD640))</f>
        <v>$AD$640</v>
      </c>
      <c r="N640" s="106" t="str">
        <f ca="1">IF(J639&gt;=8,(MID(M640,1,1)&amp;MID(M640,2,3)+1),CELL("address",AE640))</f>
        <v>$AE$640</v>
      </c>
      <c r="O640" s="106" t="str">
        <f ca="1">IF(J639&gt;=9,(MID(N640,1,1)&amp;MID(N640,2,3)+1),CELL("address",AF640))</f>
        <v>$AF$640</v>
      </c>
      <c r="P640" s="106" t="str">
        <f ca="1">IF(J639&gt;=10,(MID(O640,1,1)&amp;MID(O640,2,3)+1),CELL("address",AG640))</f>
        <v>$AG$640</v>
      </c>
      <c r="Q640" s="106" t="str">
        <f ca="1">IF(J639&gt;=11,(MID(P640,1,1)&amp;MID(P640,2,3)+1),CELL("address",AH640))</f>
        <v>$AH$640</v>
      </c>
      <c r="R640" s="106" t="str">
        <f ca="1">IF(J639&gt;=12,(MID(Q640,1,1)&amp;MID(Q640,2,3)+1),CELL("address",AI640))</f>
        <v>$AI$640</v>
      </c>
    </row>
    <row r="641" spans="1:18" ht="15" customHeight="1">
      <c r="A641" s="320"/>
      <c r="B641" s="320"/>
      <c r="C641" s="321"/>
      <c r="D641" s="41" t="s">
        <v>386</v>
      </c>
      <c r="E641" s="265">
        <v>45</v>
      </c>
      <c r="F641" s="98"/>
      <c r="G641" s="275" t="str">
        <f>CONCATENATE(D641," - ",E641,", ")</f>
        <v>U/S Tubes - 45, </v>
      </c>
      <c r="H641" s="116"/>
      <c r="I641" s="106"/>
      <c r="J641" s="106"/>
      <c r="K641" s="106"/>
      <c r="L641" s="106"/>
      <c r="M641" s="106"/>
      <c r="N641" s="106"/>
      <c r="O641" s="106"/>
      <c r="P641" s="106"/>
      <c r="Q641" s="106"/>
      <c r="R641" s="106"/>
    </row>
    <row r="642" spans="1:18" ht="15" customHeight="1">
      <c r="A642" s="40"/>
      <c r="B642" s="42"/>
      <c r="C642" s="49"/>
      <c r="D642" s="289"/>
      <c r="E642" s="291"/>
      <c r="F642" s="98"/>
      <c r="G642" s="101"/>
      <c r="H642" s="116"/>
      <c r="I642" s="106"/>
      <c r="J642" s="106"/>
      <c r="K642" s="106"/>
      <c r="L642" s="106"/>
      <c r="M642" s="106"/>
      <c r="N642" s="106"/>
      <c r="O642" s="106"/>
      <c r="P642" s="106"/>
      <c r="Q642" s="106"/>
      <c r="R642" s="106"/>
    </row>
    <row r="643" spans="1:18" ht="15" customHeight="1">
      <c r="A643" s="54"/>
      <c r="B643" s="55"/>
      <c r="C643" s="55"/>
      <c r="D643" s="57"/>
      <c r="E643" s="58">
        <f>SUM(E645:E649)</f>
        <v>4.514</v>
      </c>
      <c r="F643" s="98"/>
      <c r="G643" s="101"/>
      <c r="H643" s="116"/>
      <c r="I643" s="106"/>
      <c r="J643" s="106"/>
      <c r="K643" s="106"/>
      <c r="L643" s="106"/>
      <c r="M643" s="106"/>
      <c r="N643" s="106"/>
      <c r="O643" s="106"/>
      <c r="P643" s="106"/>
      <c r="Q643" s="106"/>
      <c r="R643" s="106"/>
    </row>
    <row r="644" spans="1:18" ht="15" customHeight="1">
      <c r="A644" s="330" t="s">
        <v>5</v>
      </c>
      <c r="B644" s="330"/>
      <c r="C644" s="71" t="s">
        <v>17</v>
      </c>
      <c r="D644" s="290" t="s">
        <v>18</v>
      </c>
      <c r="E644" s="40" t="s">
        <v>7</v>
      </c>
      <c r="F644" s="98"/>
      <c r="G644" s="274" t="str">
        <f>CONCATENATE("Misc Iron scrap, Lying at ",C645,". Quantity in MT - ")</f>
        <v>Misc Iron scrap, Lying at CS Sangrur. Quantity in MT - </v>
      </c>
      <c r="H644" s="319" t="str">
        <f ca="1">CONCATENATE(G644,G645,(INDIRECT(I645)),(INDIRECT(J645)),(INDIRECT(K645)),(INDIRECT(L645)),(INDIRECT(M645)),(INDIRECT(N645)),(INDIRECT(O645)),(INDIRECT(P645)),(INDIRECT(Q645)),(INDIRECT(R645)),".")</f>
        <v>Misc Iron scrap, Lying at CS Sangrur. Quantity in MT - Tubular Poles - 0.155, MS iron scrap - 3.163, MS Rail scrap - 0.33, Transformer body scrap - 0.855, G.I. Scrap - 0.011, .</v>
      </c>
      <c r="I644" s="106" t="str">
        <f aca="true" ca="1" t="array" ref="I644">CELL("address",INDEX(G644:G809,MATCH(TRUE,ISBLANK(G644:G809),0)))</f>
        <v>$G$650</v>
      </c>
      <c r="J644" s="106">
        <f aca="true" t="array" ref="J644">MATCH(TRUE,ISBLANK(G644:G809),0)</f>
        <v>7</v>
      </c>
      <c r="K644" s="106">
        <f>J644-3</f>
        <v>4</v>
      </c>
      <c r="L644" s="106"/>
      <c r="M644" s="106"/>
      <c r="N644" s="106"/>
      <c r="O644" s="106"/>
      <c r="P644" s="106"/>
      <c r="Q644" s="106"/>
      <c r="R644" s="106"/>
    </row>
    <row r="645" spans="1:18" ht="15" customHeight="1">
      <c r="A645" s="320" t="s">
        <v>176</v>
      </c>
      <c r="B645" s="320"/>
      <c r="C645" s="321" t="s">
        <v>79</v>
      </c>
      <c r="D645" s="43" t="s">
        <v>391</v>
      </c>
      <c r="E645" s="70">
        <v>0.155</v>
      </c>
      <c r="F645" s="98"/>
      <c r="G645" s="275" t="str">
        <f>CONCATENATE(D645," - ",E645,", ")</f>
        <v>Tubular Poles - 0.155, </v>
      </c>
      <c r="H645" s="319"/>
      <c r="I645" s="106" t="str">
        <f ca="1">IF(J644&gt;=3,(MID(I644,2,1)&amp;MID(I644,4,3)-K644),CELL("address",Z645))</f>
        <v>G646</v>
      </c>
      <c r="J645" s="106" t="str">
        <f ca="1">IF(J644&gt;=4,(MID(I645,1,1)&amp;MID(I645,2,3)+1),CELL("address",AA645))</f>
        <v>G647</v>
      </c>
      <c r="K645" s="106" t="str">
        <f ca="1">IF(J644&gt;=5,(MID(J645,1,1)&amp;MID(J645,2,3)+1),CELL("address",AB645))</f>
        <v>G648</v>
      </c>
      <c r="L645" s="106" t="str">
        <f ca="1">IF(J644&gt;=6,(MID(K645,1,1)&amp;MID(K645,2,3)+1),CELL("address",AC645))</f>
        <v>G649</v>
      </c>
      <c r="M645" s="106" t="str">
        <f ca="1">IF(J644&gt;=7,(MID(L645,1,1)&amp;MID(L645,2,3)+1),CELL("address",AD645))</f>
        <v>G650</v>
      </c>
      <c r="N645" s="106" t="str">
        <f ca="1">IF(J644&gt;=8,(MID(M645,1,1)&amp;MID(M645,2,3)+1),CELL("address",AE645))</f>
        <v>$AE$645</v>
      </c>
      <c r="O645" s="106" t="str">
        <f ca="1">IF(J644&gt;=9,(MID(N645,1,1)&amp;MID(N645,2,3)+1),CELL("address",AF645))</f>
        <v>$AF$645</v>
      </c>
      <c r="P645" s="106" t="str">
        <f ca="1">IF(J644&gt;=10,(MID(O645,1,1)&amp;MID(O645,2,3)+1),CELL("address",AG645))</f>
        <v>$AG$645</v>
      </c>
      <c r="Q645" s="106" t="str">
        <f ca="1">IF(J644&gt;=11,(MID(P645,1,1)&amp;MID(P645,2,3)+1),CELL("address",AH645))</f>
        <v>$AH$645</v>
      </c>
      <c r="R645" s="106" t="str">
        <f ca="1">IF(J644&gt;=12,(MID(Q645,1,1)&amp;MID(Q645,2,3)+1),CELL("address",AI645))</f>
        <v>$AI$645</v>
      </c>
    </row>
    <row r="646" spans="1:18" ht="15" customHeight="1">
      <c r="A646" s="320"/>
      <c r="B646" s="320"/>
      <c r="C646" s="321"/>
      <c r="D646" s="235" t="s">
        <v>29</v>
      </c>
      <c r="E646" s="291">
        <v>3.163</v>
      </c>
      <c r="F646" s="98" t="s">
        <v>243</v>
      </c>
      <c r="G646" s="275" t="str">
        <f>CONCATENATE(D646," - ",E646,", ")</f>
        <v>MS iron scrap - 3.163, </v>
      </c>
      <c r="H646" s="116"/>
      <c r="I646" s="106"/>
      <c r="J646" s="106"/>
      <c r="K646" s="106"/>
      <c r="L646" s="106"/>
      <c r="M646" s="106"/>
      <c r="N646" s="106"/>
      <c r="O646" s="106"/>
      <c r="P646" s="106"/>
      <c r="Q646" s="106"/>
      <c r="R646" s="106"/>
    </row>
    <row r="647" spans="1:18" ht="15" customHeight="1">
      <c r="A647" s="320"/>
      <c r="B647" s="320"/>
      <c r="C647" s="321"/>
      <c r="D647" s="235" t="s">
        <v>61</v>
      </c>
      <c r="E647" s="291">
        <v>0.33</v>
      </c>
      <c r="F647" s="98" t="s">
        <v>243</v>
      </c>
      <c r="G647" s="275" t="str">
        <f>CONCATENATE(D647," - ",E647,", ")</f>
        <v>MS Rail scrap - 0.33, </v>
      </c>
      <c r="H647" s="116"/>
      <c r="I647" s="106"/>
      <c r="J647" s="106"/>
      <c r="K647" s="106"/>
      <c r="L647" s="106"/>
      <c r="M647" s="106"/>
      <c r="N647" s="106"/>
      <c r="O647" s="106"/>
      <c r="P647" s="106"/>
      <c r="Q647" s="106"/>
      <c r="R647" s="106"/>
    </row>
    <row r="648" spans="1:18" ht="15" customHeight="1">
      <c r="A648" s="320"/>
      <c r="B648" s="320"/>
      <c r="C648" s="321"/>
      <c r="D648" s="236" t="s">
        <v>60</v>
      </c>
      <c r="E648" s="291">
        <v>0.855</v>
      </c>
      <c r="F648" s="98" t="s">
        <v>243</v>
      </c>
      <c r="G648" s="275" t="str">
        <f>CONCATENATE(D648," - ",E648,", ")</f>
        <v>Transformer body scrap - 0.855, </v>
      </c>
      <c r="H648" s="116"/>
      <c r="I648" s="106"/>
      <c r="J648" s="106"/>
      <c r="K648" s="106"/>
      <c r="L648" s="106"/>
      <c r="M648" s="106"/>
      <c r="N648" s="106"/>
      <c r="O648" s="106"/>
      <c r="P648" s="106"/>
      <c r="Q648" s="106"/>
      <c r="R648" s="106"/>
    </row>
    <row r="649" spans="1:18" ht="15" customHeight="1">
      <c r="A649" s="320"/>
      <c r="B649" s="320"/>
      <c r="C649" s="321"/>
      <c r="D649" s="236" t="s">
        <v>198</v>
      </c>
      <c r="E649" s="291">
        <v>0.011</v>
      </c>
      <c r="F649" s="98" t="s">
        <v>243</v>
      </c>
      <c r="G649" s="275" t="str">
        <f>CONCATENATE(D649," - ",E649,", ")</f>
        <v>G.I. Scrap - 0.011, </v>
      </c>
      <c r="H649" s="116"/>
      <c r="I649" s="106"/>
      <c r="J649" s="106"/>
      <c r="K649" s="106"/>
      <c r="L649" s="106"/>
      <c r="M649" s="106"/>
      <c r="N649" s="106"/>
      <c r="O649" s="106"/>
      <c r="P649" s="106"/>
      <c r="Q649" s="106"/>
      <c r="R649" s="106"/>
    </row>
    <row r="650" spans="1:18" ht="15" customHeight="1">
      <c r="A650" s="40"/>
      <c r="B650" s="42"/>
      <c r="C650" s="49"/>
      <c r="D650" s="289"/>
      <c r="E650" s="291"/>
      <c r="F650" s="98"/>
      <c r="G650" s="101"/>
      <c r="H650" s="116"/>
      <c r="I650" s="106"/>
      <c r="J650" s="106"/>
      <c r="K650" s="106"/>
      <c r="L650" s="106"/>
      <c r="M650" s="106"/>
      <c r="N650" s="106"/>
      <c r="O650" s="106"/>
      <c r="P650" s="106"/>
      <c r="Q650" s="106"/>
      <c r="R650" s="106"/>
    </row>
    <row r="651" spans="1:18" ht="15" customHeight="1">
      <c r="A651" s="54"/>
      <c r="B651" s="55"/>
      <c r="C651" s="55"/>
      <c r="D651" s="57"/>
      <c r="E651" s="58">
        <f>SUM(E653:E655)</f>
        <v>3.185</v>
      </c>
      <c r="F651" s="98"/>
      <c r="G651" s="101"/>
      <c r="H651" s="116"/>
      <c r="I651" s="106"/>
      <c r="J651" s="106"/>
      <c r="K651" s="106"/>
      <c r="L651" s="106"/>
      <c r="M651" s="106"/>
      <c r="N651" s="106"/>
      <c r="O651" s="106"/>
      <c r="P651" s="106"/>
      <c r="Q651" s="106"/>
      <c r="R651" s="106"/>
    </row>
    <row r="652" spans="1:18" ht="15" customHeight="1">
      <c r="A652" s="330" t="s">
        <v>5</v>
      </c>
      <c r="B652" s="330"/>
      <c r="C652" s="71" t="s">
        <v>17</v>
      </c>
      <c r="D652" s="290" t="s">
        <v>18</v>
      </c>
      <c r="E652" s="40" t="s">
        <v>7</v>
      </c>
      <c r="F652" s="98"/>
      <c r="G652" s="274" t="str">
        <f>CONCATENATE("Misc Iron scrap, Lying at ",C653,". Quantity in MT - ")</f>
        <v>Misc Iron scrap, Lying at OL Barnala. Quantity in MT - </v>
      </c>
      <c r="H652" s="319" t="str">
        <f ca="1">CONCATENATE(G652,G653,(INDIRECT(I653)),(INDIRECT(J653)),(INDIRECT(K653)),(INDIRECT(L653)),(INDIRECT(M653)),(INDIRECT(N653)),(INDIRECT(O653)),(INDIRECT(P653)),(INDIRECT(Q653)),(INDIRECT(R653)),".")</f>
        <v>Misc Iron scrap, Lying at OL Barnala. Quantity in MT - Tubular Poles - 0.282, MS iron scrap - 2.368, Transformer body scrap - 0.535, .</v>
      </c>
      <c r="I652" s="106" t="str">
        <f aca="true" ca="1" t="array" ref="I652">CELL("address",INDEX(G652:G813,MATCH(TRUE,ISBLANK(G652:G813),0)))</f>
        <v>$G$656</v>
      </c>
      <c r="J652" s="106">
        <f aca="true" t="array" ref="J652">MATCH(TRUE,ISBLANK(G652:G813),0)</f>
        <v>5</v>
      </c>
      <c r="K652" s="106">
        <f>J652-3</f>
        <v>2</v>
      </c>
      <c r="L652" s="106"/>
      <c r="M652" s="106"/>
      <c r="N652" s="106"/>
      <c r="O652" s="106"/>
      <c r="P652" s="106"/>
      <c r="Q652" s="106"/>
      <c r="R652" s="106"/>
    </row>
    <row r="653" spans="1:18" ht="15" customHeight="1">
      <c r="A653" s="320" t="s">
        <v>177</v>
      </c>
      <c r="B653" s="320"/>
      <c r="C653" s="321" t="s">
        <v>190</v>
      </c>
      <c r="D653" s="43" t="s">
        <v>391</v>
      </c>
      <c r="E653" s="70">
        <v>0.282</v>
      </c>
      <c r="F653" s="98"/>
      <c r="G653" s="275" t="str">
        <f>CONCATENATE(D653," - ",E653,", ")</f>
        <v>Tubular Poles - 0.282, </v>
      </c>
      <c r="H653" s="319"/>
      <c r="I653" s="106" t="str">
        <f ca="1">IF(J652&gt;=3,(MID(I652,2,1)&amp;MID(I652,4,3)-K652),CELL("address",Z653))</f>
        <v>G654</v>
      </c>
      <c r="J653" s="106" t="str">
        <f ca="1">IF(J652&gt;=4,(MID(I653,1,1)&amp;MID(I653,2,3)+1),CELL("address",AA653))</f>
        <v>G655</v>
      </c>
      <c r="K653" s="106" t="str">
        <f ca="1">IF(J652&gt;=5,(MID(J653,1,1)&amp;MID(J653,2,3)+1),CELL("address",AB653))</f>
        <v>G656</v>
      </c>
      <c r="L653" s="106" t="str">
        <f ca="1">IF(J652&gt;=6,(MID(K653,1,1)&amp;MID(K653,2,3)+1),CELL("address",AC653))</f>
        <v>$AC$653</v>
      </c>
      <c r="M653" s="106" t="str">
        <f ca="1">IF(J652&gt;=7,(MID(L653,1,1)&amp;MID(L653,2,3)+1),CELL("address",AD653))</f>
        <v>$AD$653</v>
      </c>
      <c r="N653" s="106" t="str">
        <f ca="1">IF(J652&gt;=8,(MID(M653,1,1)&amp;MID(M653,2,3)+1),CELL("address",AE653))</f>
        <v>$AE$653</v>
      </c>
      <c r="O653" s="106" t="str">
        <f ca="1">IF(J652&gt;=9,(MID(N653,1,1)&amp;MID(N653,2,3)+1),CELL("address",AF653))</f>
        <v>$AF$653</v>
      </c>
      <c r="P653" s="106" t="str">
        <f ca="1">IF(J652&gt;=10,(MID(O653,1,1)&amp;MID(O653,2,3)+1),CELL("address",AG653))</f>
        <v>$AG$653</v>
      </c>
      <c r="Q653" s="106" t="str">
        <f ca="1">IF(J652&gt;=11,(MID(P653,1,1)&amp;MID(P653,2,3)+1),CELL("address",AH653))</f>
        <v>$AH$653</v>
      </c>
      <c r="R653" s="106" t="str">
        <f ca="1">IF(J652&gt;=12,(MID(Q653,1,1)&amp;MID(Q653,2,3)+1),CELL("address",AI653))</f>
        <v>$AI$653</v>
      </c>
    </row>
    <row r="654" spans="1:18" ht="15" customHeight="1">
      <c r="A654" s="320"/>
      <c r="B654" s="320"/>
      <c r="C654" s="321"/>
      <c r="D654" s="235" t="s">
        <v>29</v>
      </c>
      <c r="E654" s="291">
        <v>2.368</v>
      </c>
      <c r="F654" s="98" t="s">
        <v>322</v>
      </c>
      <c r="G654" s="275" t="str">
        <f>CONCATENATE(D654," - ",E654,", ")</f>
        <v>MS iron scrap - 2.368, </v>
      </c>
      <c r="H654" s="116"/>
      <c r="I654" s="106"/>
      <c r="J654" s="106"/>
      <c r="K654" s="106"/>
      <c r="L654" s="106"/>
      <c r="M654" s="106"/>
      <c r="N654" s="106"/>
      <c r="O654" s="106"/>
      <c r="P654" s="106"/>
      <c r="Q654" s="106"/>
      <c r="R654" s="106"/>
    </row>
    <row r="655" spans="1:18" ht="15" customHeight="1">
      <c r="A655" s="320"/>
      <c r="B655" s="320"/>
      <c r="C655" s="321"/>
      <c r="D655" s="236" t="s">
        <v>60</v>
      </c>
      <c r="E655" s="291">
        <v>0.535</v>
      </c>
      <c r="F655" s="98" t="s">
        <v>322</v>
      </c>
      <c r="G655" s="98" t="str">
        <f>CONCATENATE(D655," - ",E655,", ")</f>
        <v>Transformer body scrap - 0.535, </v>
      </c>
      <c r="H655" s="116"/>
      <c r="I655" s="106"/>
      <c r="J655" s="106"/>
      <c r="K655" s="106"/>
      <c r="L655" s="106"/>
      <c r="M655" s="106"/>
      <c r="N655" s="106"/>
      <c r="O655" s="106"/>
      <c r="P655" s="106"/>
      <c r="Q655" s="106"/>
      <c r="R655" s="106"/>
    </row>
    <row r="656" spans="1:18" ht="15" customHeight="1">
      <c r="A656" s="40"/>
      <c r="B656" s="42"/>
      <c r="C656" s="49"/>
      <c r="D656" s="289"/>
      <c r="E656" s="291"/>
      <c r="F656" s="98"/>
      <c r="G656" s="98"/>
      <c r="H656" s="116"/>
      <c r="I656" s="106"/>
      <c r="J656" s="106"/>
      <c r="K656" s="106"/>
      <c r="L656" s="106"/>
      <c r="M656" s="106"/>
      <c r="N656" s="106"/>
      <c r="O656" s="106"/>
      <c r="P656" s="106"/>
      <c r="Q656" s="106"/>
      <c r="R656" s="106"/>
    </row>
    <row r="657" spans="1:18" ht="15" customHeight="1">
      <c r="A657" s="54"/>
      <c r="B657" s="55"/>
      <c r="C657" s="55"/>
      <c r="D657" s="57"/>
      <c r="E657" s="58">
        <f>SUM(E659:E659)</f>
        <v>0.095</v>
      </c>
      <c r="F657" s="98"/>
      <c r="G657" s="98"/>
      <c r="H657" s="116"/>
      <c r="I657" s="106"/>
      <c r="J657" s="106"/>
      <c r="K657" s="106"/>
      <c r="L657" s="106"/>
      <c r="M657" s="106"/>
      <c r="N657" s="106"/>
      <c r="O657" s="106"/>
      <c r="P657" s="106"/>
      <c r="Q657" s="106"/>
      <c r="R657" s="106"/>
    </row>
    <row r="658" spans="1:18" ht="15" customHeight="1">
      <c r="A658" s="330" t="s">
        <v>5</v>
      </c>
      <c r="B658" s="330"/>
      <c r="C658" s="71" t="s">
        <v>17</v>
      </c>
      <c r="D658" s="290" t="s">
        <v>18</v>
      </c>
      <c r="E658" s="40" t="s">
        <v>7</v>
      </c>
      <c r="F658" s="98"/>
      <c r="G658" s="99" t="str">
        <f>CONCATENATE("Piller box scrap, Lying at ",C659,". Quantity in MT - ")</f>
        <v>Piller box scrap, Lying at CS Mohali. Quantity in MT - </v>
      </c>
      <c r="H658" s="319" t="str">
        <f ca="1">CONCATENATE(G658,G659,(INDIRECT(I659)),(INDIRECT(J659)),(INDIRECT(K659)),(INDIRECT(L659)),(INDIRECT(M659)),(INDIRECT(N659)),(INDIRECT(O659)),(INDIRECT(P659)),(INDIRECT(Q659)),(INDIRECT(R659)),".")</f>
        <v>Piller box scrap, Lying at CS Mohali. Quantity in MT - Piller box scrap - 0.095, .</v>
      </c>
      <c r="I658" s="106" t="str">
        <f aca="true" ca="1" t="array" ref="I658">CELL("address",INDEX(G658:G817,MATCH(TRUE,ISBLANK(G658:G817),0)))</f>
        <v>$G$660</v>
      </c>
      <c r="J658" s="106">
        <f aca="true" t="array" ref="J658">MATCH(TRUE,ISBLANK(G658:G817),0)</f>
        <v>3</v>
      </c>
      <c r="K658" s="106">
        <f>J658-3</f>
        <v>0</v>
      </c>
      <c r="L658" s="106"/>
      <c r="M658" s="106"/>
      <c r="N658" s="106"/>
      <c r="O658" s="106"/>
      <c r="P658" s="106"/>
      <c r="Q658" s="106"/>
      <c r="R658" s="106"/>
    </row>
    <row r="659" spans="1:18" ht="15" customHeight="1">
      <c r="A659" s="320" t="s">
        <v>323</v>
      </c>
      <c r="B659" s="320"/>
      <c r="C659" s="290" t="s">
        <v>62</v>
      </c>
      <c r="D659" s="43" t="s">
        <v>396</v>
      </c>
      <c r="E659" s="70">
        <v>0.095</v>
      </c>
      <c r="F659" s="98"/>
      <c r="G659" s="98" t="str">
        <f>CONCATENATE(D659," - ",E659,", ")</f>
        <v>Piller box scrap - 0.095, </v>
      </c>
      <c r="H659" s="319"/>
      <c r="I659" s="106" t="str">
        <f ca="1">IF(J658&gt;=3,(MID(I658,2,1)&amp;MID(I658,4,3)-K658),CELL("address",Z659))</f>
        <v>G660</v>
      </c>
      <c r="J659" s="106" t="str">
        <f ca="1">IF(J658&gt;=4,(MID(I659,1,1)&amp;MID(I659,2,3)+1),CELL("address",AA659))</f>
        <v>$AA$659</v>
      </c>
      <c r="K659" s="106" t="str">
        <f ca="1">IF(J658&gt;=5,(MID(J659,1,1)&amp;MID(J659,2,3)+1),CELL("address",AB659))</f>
        <v>$AB$659</v>
      </c>
      <c r="L659" s="106" t="str">
        <f ca="1">IF(J658&gt;=6,(MID(K659,1,1)&amp;MID(K659,2,3)+1),CELL("address",AC659))</f>
        <v>$AC$659</v>
      </c>
      <c r="M659" s="106" t="str">
        <f ca="1">IF(J658&gt;=7,(MID(L659,1,1)&amp;MID(L659,2,3)+1),CELL("address",AD659))</f>
        <v>$AD$659</v>
      </c>
      <c r="N659" s="106" t="str">
        <f ca="1">IF(J658&gt;=8,(MID(M659,1,1)&amp;MID(M659,2,3)+1),CELL("address",AE659))</f>
        <v>$AE$659</v>
      </c>
      <c r="O659" s="106" t="str">
        <f ca="1">IF(J658&gt;=9,(MID(N659,1,1)&amp;MID(N659,2,3)+1),CELL("address",AF659))</f>
        <v>$AF$659</v>
      </c>
      <c r="P659" s="106" t="str">
        <f ca="1">IF(J658&gt;=10,(MID(O659,1,1)&amp;MID(O659,2,3)+1),CELL("address",AG659))</f>
        <v>$AG$659</v>
      </c>
      <c r="Q659" s="106" t="str">
        <f ca="1">IF(J658&gt;=11,(MID(P659,1,1)&amp;MID(P659,2,3)+1),CELL("address",AH659))</f>
        <v>$AH$659</v>
      </c>
      <c r="R659" s="106" t="str">
        <f ca="1">IF(J658&gt;=12,(MID(Q659,1,1)&amp;MID(Q659,2,3)+1),CELL("address",AI659))</f>
        <v>$AI$659</v>
      </c>
    </row>
    <row r="660" spans="1:18" ht="15" customHeight="1">
      <c r="A660" s="40"/>
      <c r="B660" s="42"/>
      <c r="C660" s="49"/>
      <c r="D660" s="289"/>
      <c r="E660" s="291"/>
      <c r="F660" s="98"/>
      <c r="G660" s="98"/>
      <c r="H660" s="116"/>
      <c r="I660" s="106"/>
      <c r="J660" s="106"/>
      <c r="K660" s="106"/>
      <c r="L660" s="106"/>
      <c r="M660" s="106"/>
      <c r="N660" s="106"/>
      <c r="O660" s="106"/>
      <c r="P660" s="106"/>
      <c r="Q660" s="106"/>
      <c r="R660" s="106"/>
    </row>
    <row r="661" spans="1:18" ht="15" customHeight="1">
      <c r="A661" s="54"/>
      <c r="B661" s="55"/>
      <c r="C661" s="55"/>
      <c r="D661" s="57"/>
      <c r="E661" s="58">
        <f>SUM(E663:E663)</f>
        <v>0.93</v>
      </c>
      <c r="F661" s="98"/>
      <c r="G661" s="98"/>
      <c r="H661" s="116"/>
      <c r="I661" s="106"/>
      <c r="J661" s="106"/>
      <c r="K661" s="106"/>
      <c r="L661" s="106"/>
      <c r="M661" s="106"/>
      <c r="N661" s="106"/>
      <c r="O661" s="106"/>
      <c r="P661" s="106"/>
      <c r="Q661" s="106"/>
      <c r="R661" s="106"/>
    </row>
    <row r="662" spans="1:18" ht="15" customHeight="1">
      <c r="A662" s="330" t="s">
        <v>5</v>
      </c>
      <c r="B662" s="330"/>
      <c r="C662" s="71" t="s">
        <v>17</v>
      </c>
      <c r="D662" s="290" t="s">
        <v>18</v>
      </c>
      <c r="E662" s="40" t="s">
        <v>7</v>
      </c>
      <c r="F662" s="98"/>
      <c r="G662" s="99" t="str">
        <f>CONCATENATE("Iron scrap of bush fixings, Lying at ",C663,". Quantity in MT - ")</f>
        <v>Iron scrap of bush fixings, Lying at CS Patiala. Quantity in MT - </v>
      </c>
      <c r="H662" s="319" t="str">
        <f ca="1">CONCATENATE(G662,G663,(INDIRECT(I663)),(INDIRECT(J663)),(INDIRECT(K663)),(INDIRECT(L663)),(INDIRECT(M663)),(INDIRECT(N663)),(INDIRECT(O663)),(INDIRECT(P663)),(INDIRECT(Q663)),(INDIRECT(R663)),".")</f>
        <v>Iron scrap of bush fixings, Lying at CS Patiala. Quantity in MT - Iron scrap of Bush fixings - 0.93, .</v>
      </c>
      <c r="I662" s="106" t="str">
        <f aca="true" ca="1" t="array" ref="I662">CELL("address",INDEX(G662:G821,MATCH(TRUE,ISBLANK(G662:G821),0)))</f>
        <v>$G$664</v>
      </c>
      <c r="J662" s="106">
        <f aca="true" t="array" ref="J662">MATCH(TRUE,ISBLANK(G662:G821),0)</f>
        <v>3</v>
      </c>
      <c r="K662" s="106">
        <f>J662-3</f>
        <v>0</v>
      </c>
      <c r="L662" s="106"/>
      <c r="M662" s="106"/>
      <c r="N662" s="106"/>
      <c r="O662" s="106"/>
      <c r="P662" s="106"/>
      <c r="Q662" s="106"/>
      <c r="R662" s="106"/>
    </row>
    <row r="663" spans="1:18" ht="15" customHeight="1">
      <c r="A663" s="320" t="s">
        <v>392</v>
      </c>
      <c r="B663" s="320"/>
      <c r="C663" s="290" t="s">
        <v>52</v>
      </c>
      <c r="D663" s="43" t="s">
        <v>399</v>
      </c>
      <c r="E663" s="70">
        <v>0.93</v>
      </c>
      <c r="F663" s="98"/>
      <c r="G663" s="98" t="str">
        <f>CONCATENATE(D663," - ",E663,", ")</f>
        <v>Iron scrap of Bush fixings - 0.93, </v>
      </c>
      <c r="H663" s="319"/>
      <c r="I663" s="106" t="str">
        <f ca="1">IF(J662&gt;=3,(MID(I662,2,1)&amp;MID(I662,4,3)-K662),CELL("address",Z663))</f>
        <v>G664</v>
      </c>
      <c r="J663" s="106" t="str">
        <f ca="1">IF(J662&gt;=4,(MID(I663,1,1)&amp;MID(I663,2,3)+1),CELL("address",AA663))</f>
        <v>$AA$663</v>
      </c>
      <c r="K663" s="106" t="str">
        <f ca="1">IF(J662&gt;=5,(MID(J663,1,1)&amp;MID(J663,2,3)+1),CELL("address",AB663))</f>
        <v>$AB$663</v>
      </c>
      <c r="L663" s="106" t="str">
        <f ca="1">IF(J662&gt;=6,(MID(K663,1,1)&amp;MID(K663,2,3)+1),CELL("address",AC663))</f>
        <v>$AC$663</v>
      </c>
      <c r="M663" s="106" t="str">
        <f ca="1">IF(J662&gt;=7,(MID(L663,1,1)&amp;MID(L663,2,3)+1),CELL("address",AD663))</f>
        <v>$AD$663</v>
      </c>
      <c r="N663" s="106" t="str">
        <f ca="1">IF(J662&gt;=8,(MID(M663,1,1)&amp;MID(M663,2,3)+1),CELL("address",AE663))</f>
        <v>$AE$663</v>
      </c>
      <c r="O663" s="106" t="str">
        <f ca="1">IF(J662&gt;=9,(MID(N663,1,1)&amp;MID(N663,2,3)+1),CELL("address",AF663))</f>
        <v>$AF$663</v>
      </c>
      <c r="P663" s="106" t="str">
        <f ca="1">IF(J662&gt;=10,(MID(O663,1,1)&amp;MID(O663,2,3)+1),CELL("address",AG663))</f>
        <v>$AG$663</v>
      </c>
      <c r="Q663" s="106" t="str">
        <f ca="1">IF(J662&gt;=11,(MID(P663,1,1)&amp;MID(P663,2,3)+1),CELL("address",AH663))</f>
        <v>$AH$663</v>
      </c>
      <c r="R663" s="106" t="str">
        <f ca="1">IF(J662&gt;=12,(MID(Q663,1,1)&amp;MID(Q663,2,3)+1),CELL("address",AI663))</f>
        <v>$AI$663</v>
      </c>
    </row>
    <row r="664" spans="1:18" ht="15" customHeight="1">
      <c r="A664" s="40"/>
      <c r="B664" s="42"/>
      <c r="C664" s="49"/>
      <c r="D664" s="42"/>
      <c r="E664" s="59"/>
      <c r="F664" s="98"/>
      <c r="G664" s="98"/>
      <c r="H664" s="116"/>
      <c r="I664" s="106"/>
      <c r="J664" s="106"/>
      <c r="K664" s="106"/>
      <c r="L664" s="106"/>
      <c r="M664" s="106"/>
      <c r="N664" s="106"/>
      <c r="O664" s="106"/>
      <c r="P664" s="106"/>
      <c r="Q664" s="106"/>
      <c r="R664" s="106"/>
    </row>
    <row r="665" spans="1:18" ht="15" customHeight="1">
      <c r="A665" s="54"/>
      <c r="B665" s="55"/>
      <c r="C665" s="55"/>
      <c r="D665" s="56"/>
      <c r="E665" s="264">
        <f>SUM(E667:E670)</f>
        <v>7.513999999999999</v>
      </c>
      <c r="F665" s="98"/>
      <c r="G665" s="98"/>
      <c r="H665" s="116"/>
      <c r="I665" s="106"/>
      <c r="J665" s="106"/>
      <c r="K665" s="106"/>
      <c r="L665" s="106"/>
      <c r="M665" s="106"/>
      <c r="N665" s="106"/>
      <c r="O665" s="106"/>
      <c r="P665" s="106"/>
      <c r="Q665" s="106"/>
      <c r="R665" s="106"/>
    </row>
    <row r="666" spans="1:18" ht="15" customHeight="1">
      <c r="A666" s="320" t="s">
        <v>5</v>
      </c>
      <c r="B666" s="320"/>
      <c r="C666" s="41" t="s">
        <v>17</v>
      </c>
      <c r="D666" s="290" t="s">
        <v>18</v>
      </c>
      <c r="E666" s="40" t="s">
        <v>7</v>
      </c>
      <c r="F666" s="98"/>
      <c r="G666" s="99" t="str">
        <f>CONCATENATE("Iron scrap of bush fixings, Lying at ",C667,". Quantity in MT - ")</f>
        <v>Iron scrap of bush fixings, Lying at OL Malerkotla. Quantity in MT - </v>
      </c>
      <c r="H666" s="319" t="str">
        <f ca="1">CONCATENATE(G666,G667,(INDIRECT(I667)),(INDIRECT(J667)),(INDIRECT(K667)),(INDIRECT(L667)),(INDIRECT(M667)),(INDIRECT(N667)),(INDIRECT(O667)),(INDIRECT(P667)),(INDIRECT(Q667)),(INDIRECT(R667)),".")</f>
        <v>Iron scrap of bush fixings, Lying at OL Malerkotla. Quantity in MT - MS iron scrap - 4.931, Transformer body scrap - 2.081, MS Rail scrap - 0.43, M.S. Nuts &amp; Bolts Scrap - 0.072, .</v>
      </c>
      <c r="I666" s="106" t="str">
        <f aca="true" ca="1" t="array" ref="I666">CELL("address",INDEX(G666:G825,MATCH(TRUE,ISBLANK(G666:G825),0)))</f>
        <v>$G$671</v>
      </c>
      <c r="J666" s="106">
        <f aca="true" t="array" ref="J666">MATCH(TRUE,ISBLANK(G666:G825),0)</f>
        <v>6</v>
      </c>
      <c r="K666" s="106">
        <f>J666-3</f>
        <v>3</v>
      </c>
      <c r="L666" s="106"/>
      <c r="M666" s="106"/>
      <c r="N666" s="106"/>
      <c r="O666" s="106"/>
      <c r="P666" s="106"/>
      <c r="Q666" s="106"/>
      <c r="R666" s="106"/>
    </row>
    <row r="667" spans="1:18" ht="15" customHeight="1">
      <c r="A667" s="320" t="s">
        <v>192</v>
      </c>
      <c r="B667" s="320"/>
      <c r="C667" s="321" t="s">
        <v>126</v>
      </c>
      <c r="D667" s="235" t="s">
        <v>29</v>
      </c>
      <c r="E667" s="298">
        <v>4.931</v>
      </c>
      <c r="F667" s="98" t="s">
        <v>243</v>
      </c>
      <c r="G667" s="98" t="str">
        <f>CONCATENATE(D667," - ",E667,", ")</f>
        <v>MS iron scrap - 4.931, </v>
      </c>
      <c r="H667" s="319"/>
      <c r="I667" s="106" t="str">
        <f ca="1">IF(J666&gt;=3,(MID(I666,2,1)&amp;MID(I666,4,3)-K666),CELL("address",Z667))</f>
        <v>G668</v>
      </c>
      <c r="J667" s="106" t="str">
        <f ca="1">IF(J666&gt;=4,(MID(I667,1,1)&amp;MID(I667,2,3)+1),CELL("address",AA667))</f>
        <v>G669</v>
      </c>
      <c r="K667" s="106" t="str">
        <f ca="1">IF(J666&gt;=5,(MID(J667,1,1)&amp;MID(J667,2,3)+1),CELL("address",AB667))</f>
        <v>G670</v>
      </c>
      <c r="L667" s="106" t="str">
        <f ca="1">IF(J666&gt;=6,(MID(K667,1,1)&amp;MID(K667,2,3)+1),CELL("address",AC667))</f>
        <v>G671</v>
      </c>
      <c r="M667" s="106" t="str">
        <f ca="1">IF(J666&gt;=7,(MID(L667,1,1)&amp;MID(L667,2,3)+1),CELL("address",AD667))</f>
        <v>$AD$667</v>
      </c>
      <c r="N667" s="106" t="str">
        <f ca="1">IF(J666&gt;=8,(MID(M667,1,1)&amp;MID(M667,2,3)+1),CELL("address",AE667))</f>
        <v>$AE$667</v>
      </c>
      <c r="O667" s="106" t="str">
        <f ca="1">IF(J666&gt;=9,(MID(N667,1,1)&amp;MID(N667,2,3)+1),CELL("address",AF667))</f>
        <v>$AF$667</v>
      </c>
      <c r="P667" s="106" t="str">
        <f ca="1">IF(J666&gt;=10,(MID(O667,1,1)&amp;MID(O667,2,3)+1),CELL("address",AG667))</f>
        <v>$AG$667</v>
      </c>
      <c r="Q667" s="106" t="str">
        <f ca="1">IF(J666&gt;=11,(MID(P667,1,1)&amp;MID(P667,2,3)+1),CELL("address",AH667))</f>
        <v>$AH$667</v>
      </c>
      <c r="R667" s="106" t="str">
        <f ca="1">IF(J666&gt;=12,(MID(Q667,1,1)&amp;MID(Q667,2,3)+1),CELL("address",AI667))</f>
        <v>$AI$667</v>
      </c>
    </row>
    <row r="668" spans="1:18" ht="15" customHeight="1">
      <c r="A668" s="320"/>
      <c r="B668" s="320"/>
      <c r="C668" s="321"/>
      <c r="D668" s="236" t="s">
        <v>60</v>
      </c>
      <c r="E668" s="298">
        <v>2.0809999999999995</v>
      </c>
      <c r="F668" s="98" t="s">
        <v>243</v>
      </c>
      <c r="G668" s="98" t="str">
        <f>CONCATENATE(D668," - ",E668,", ")</f>
        <v>Transformer body scrap - 2.081, </v>
      </c>
      <c r="H668" s="116"/>
      <c r="I668" s="106"/>
      <c r="J668" s="106"/>
      <c r="K668" s="106"/>
      <c r="L668" s="106"/>
      <c r="M668" s="106"/>
      <c r="N668" s="106"/>
      <c r="O668" s="106"/>
      <c r="P668" s="106"/>
      <c r="Q668" s="106"/>
      <c r="R668" s="106"/>
    </row>
    <row r="669" spans="1:18" ht="15" customHeight="1">
      <c r="A669" s="320"/>
      <c r="B669" s="320"/>
      <c r="C669" s="321"/>
      <c r="D669" s="235" t="s">
        <v>61</v>
      </c>
      <c r="E669" s="291">
        <v>0.42999999999999994</v>
      </c>
      <c r="F669" s="98" t="s">
        <v>243</v>
      </c>
      <c r="G669" s="98" t="str">
        <f>CONCATENATE(D669," - ",E669,", ")</f>
        <v>MS Rail scrap - 0.43, </v>
      </c>
      <c r="H669" s="116"/>
      <c r="I669" s="106"/>
      <c r="J669" s="106"/>
      <c r="K669" s="106"/>
      <c r="L669" s="106"/>
      <c r="M669" s="106"/>
      <c r="N669" s="106"/>
      <c r="O669" s="106"/>
      <c r="P669" s="106"/>
      <c r="Q669" s="106"/>
      <c r="R669" s="106"/>
    </row>
    <row r="670" spans="1:18" ht="15" customHeight="1">
      <c r="A670" s="320"/>
      <c r="B670" s="320"/>
      <c r="C670" s="321"/>
      <c r="D670" s="236" t="s">
        <v>199</v>
      </c>
      <c r="E670" s="291">
        <v>0.072</v>
      </c>
      <c r="F670" s="98" t="s">
        <v>243</v>
      </c>
      <c r="G670" s="98" t="str">
        <f>CONCATENATE(D670," - ",E670,", ")</f>
        <v>M.S. Nuts &amp; Bolts Scrap - 0.072, </v>
      </c>
      <c r="H670" s="116"/>
      <c r="I670" s="106"/>
      <c r="J670" s="106"/>
      <c r="K670" s="106"/>
      <c r="L670" s="106"/>
      <c r="M670" s="106"/>
      <c r="N670" s="106"/>
      <c r="O670" s="106"/>
      <c r="P670" s="106"/>
      <c r="Q670" s="106"/>
      <c r="R670" s="106"/>
    </row>
    <row r="671" spans="1:18" ht="15" customHeight="1">
      <c r="A671" s="40"/>
      <c r="B671" s="42"/>
      <c r="C671" s="49"/>
      <c r="D671" s="39"/>
      <c r="E671" s="291"/>
      <c r="F671" s="98"/>
      <c r="G671" s="98"/>
      <c r="H671" s="116"/>
      <c r="I671" s="106"/>
      <c r="J671" s="106"/>
      <c r="K671" s="106"/>
      <c r="L671" s="106"/>
      <c r="M671" s="106"/>
      <c r="N671" s="106"/>
      <c r="O671" s="106"/>
      <c r="P671" s="106"/>
      <c r="Q671" s="106"/>
      <c r="R671" s="106"/>
    </row>
    <row r="672" spans="1:18" ht="15" customHeight="1">
      <c r="A672" s="54"/>
      <c r="B672" s="55"/>
      <c r="C672" s="55"/>
      <c r="D672" s="56"/>
      <c r="E672" s="264">
        <f>SUM(E674:E677)</f>
        <v>2.3459999999999996</v>
      </c>
      <c r="F672" s="98"/>
      <c r="G672" s="98"/>
      <c r="H672" s="116"/>
      <c r="I672" s="106"/>
      <c r="J672" s="106"/>
      <c r="K672" s="106"/>
      <c r="L672" s="106"/>
      <c r="M672" s="106"/>
      <c r="N672" s="106"/>
      <c r="O672" s="106"/>
      <c r="P672" s="106"/>
      <c r="Q672" s="106"/>
      <c r="R672" s="106"/>
    </row>
    <row r="673" spans="1:18" ht="15" customHeight="1">
      <c r="A673" s="320" t="s">
        <v>5</v>
      </c>
      <c r="B673" s="320"/>
      <c r="C673" s="41" t="s">
        <v>17</v>
      </c>
      <c r="D673" s="290" t="s">
        <v>18</v>
      </c>
      <c r="E673" s="40" t="s">
        <v>7</v>
      </c>
      <c r="F673" s="98"/>
      <c r="G673" s="99" t="str">
        <f>CONCATENATE("Iron scrap of bush fixings, Lying at ",C674,". Quantity in MT - ")</f>
        <v>Iron scrap of bush fixings, Lying at CS Malout. Quantity in MT - </v>
      </c>
      <c r="H673" s="319" t="str">
        <f ca="1">CONCATENATE(G673,G674,(INDIRECT(I674)),(INDIRECT(J674)),(INDIRECT(K674)),(INDIRECT(L674)),(INDIRECT(M674)),(INDIRECT(N674)),(INDIRECT(O674)),(INDIRECT(P674)),(INDIRECT(Q674)),(INDIRECT(R674)),".")</f>
        <v>Iron scrap of bush fixings, Lying at CS Malout. Quantity in MT - MS iron scrap - 2.073, M.S. Nuts &amp; Bolts Scrap - 0.25, G.I. Scrap - 0.002, G.I. Wire/GSL scrap - 0.021, .</v>
      </c>
      <c r="I673" s="106" t="str">
        <f aca="true" ca="1" t="array" ref="I673">CELL("address",INDEX(G673:G832,MATCH(TRUE,ISBLANK(G673:G832),0)))</f>
        <v>$G$678</v>
      </c>
      <c r="J673" s="106">
        <f aca="true" t="array" ref="J673">MATCH(TRUE,ISBLANK(G673:G832),0)</f>
        <v>6</v>
      </c>
      <c r="K673" s="106">
        <f>J673-3</f>
        <v>3</v>
      </c>
      <c r="L673" s="106"/>
      <c r="M673" s="106"/>
      <c r="N673" s="106"/>
      <c r="O673" s="106"/>
      <c r="P673" s="106"/>
      <c r="Q673" s="106"/>
      <c r="R673" s="106"/>
    </row>
    <row r="674" spans="1:18" ht="15" customHeight="1">
      <c r="A674" s="320" t="s">
        <v>506</v>
      </c>
      <c r="B674" s="320"/>
      <c r="C674" s="321" t="s">
        <v>95</v>
      </c>
      <c r="D674" s="235" t="s">
        <v>29</v>
      </c>
      <c r="E674" s="298">
        <v>2.073</v>
      </c>
      <c r="F674" s="98" t="s">
        <v>322</v>
      </c>
      <c r="G674" s="98" t="str">
        <f>CONCATENATE(D674," - ",E674,", ")</f>
        <v>MS iron scrap - 2.073, </v>
      </c>
      <c r="H674" s="319"/>
      <c r="I674" s="106" t="str">
        <f ca="1">IF(J673&gt;=3,(MID(I673,2,1)&amp;MID(I673,4,3)-K673),CELL("address",Z674))</f>
        <v>G675</v>
      </c>
      <c r="J674" s="106" t="str">
        <f ca="1">IF(J673&gt;=4,(MID(I674,1,1)&amp;MID(I674,2,3)+1),CELL("address",AA674))</f>
        <v>G676</v>
      </c>
      <c r="K674" s="106" t="str">
        <f ca="1">IF(J673&gt;=5,(MID(J674,1,1)&amp;MID(J674,2,3)+1),CELL("address",AB674))</f>
        <v>G677</v>
      </c>
      <c r="L674" s="106" t="str">
        <f ca="1">IF(J673&gt;=6,(MID(K674,1,1)&amp;MID(K674,2,3)+1),CELL("address",AC674))</f>
        <v>G678</v>
      </c>
      <c r="M674" s="106" t="str">
        <f ca="1">IF(J673&gt;=7,(MID(L674,1,1)&amp;MID(L674,2,3)+1),CELL("address",AD674))</f>
        <v>$AD$674</v>
      </c>
      <c r="N674" s="106" t="str">
        <f ca="1">IF(J673&gt;=8,(MID(M674,1,1)&amp;MID(M674,2,3)+1),CELL("address",AE674))</f>
        <v>$AE$674</v>
      </c>
      <c r="O674" s="106" t="str">
        <f ca="1">IF(J673&gt;=9,(MID(N674,1,1)&amp;MID(N674,2,3)+1),CELL("address",AF674))</f>
        <v>$AF$674</v>
      </c>
      <c r="P674" s="106" t="str">
        <f ca="1">IF(J673&gt;=10,(MID(O674,1,1)&amp;MID(O674,2,3)+1),CELL("address",AG674))</f>
        <v>$AG$674</v>
      </c>
      <c r="Q674" s="106" t="str">
        <f ca="1">IF(J673&gt;=11,(MID(P674,1,1)&amp;MID(P674,2,3)+1),CELL("address",AH674))</f>
        <v>$AH$674</v>
      </c>
      <c r="R674" s="106" t="str">
        <f ca="1">IF(J673&gt;=12,(MID(Q674,1,1)&amp;MID(Q674,2,3)+1),CELL("address",AI674))</f>
        <v>$AI$674</v>
      </c>
    </row>
    <row r="675" spans="1:18" ht="15" customHeight="1">
      <c r="A675" s="320"/>
      <c r="B675" s="320"/>
      <c r="C675" s="321"/>
      <c r="D675" s="236" t="s">
        <v>199</v>
      </c>
      <c r="E675" s="298">
        <v>0.25</v>
      </c>
      <c r="F675" s="98" t="s">
        <v>322</v>
      </c>
      <c r="G675" s="98" t="str">
        <f>CONCATENATE(D675," - ",E675,", ")</f>
        <v>M.S. Nuts &amp; Bolts Scrap - 0.25, </v>
      </c>
      <c r="H675" s="116"/>
      <c r="I675" s="106"/>
      <c r="J675" s="106"/>
      <c r="K675" s="106"/>
      <c r="L675" s="106"/>
      <c r="M675" s="106"/>
      <c r="N675" s="106"/>
      <c r="O675" s="106"/>
      <c r="P675" s="106"/>
      <c r="Q675" s="106"/>
      <c r="R675" s="106"/>
    </row>
    <row r="676" spans="1:18" ht="15" customHeight="1">
      <c r="A676" s="320"/>
      <c r="B676" s="320"/>
      <c r="C676" s="321"/>
      <c r="D676" s="236" t="s">
        <v>198</v>
      </c>
      <c r="E676" s="291">
        <v>0.002</v>
      </c>
      <c r="F676" s="98" t="s">
        <v>322</v>
      </c>
      <c r="G676" s="98" t="str">
        <f>CONCATENATE(D676," - ",E676,", ")</f>
        <v>G.I. Scrap - 0.002, </v>
      </c>
      <c r="H676" s="116"/>
      <c r="I676" s="106"/>
      <c r="J676" s="106"/>
      <c r="K676" s="106"/>
      <c r="L676" s="106"/>
      <c r="M676" s="106"/>
      <c r="N676" s="106"/>
      <c r="O676" s="106"/>
      <c r="P676" s="106"/>
      <c r="Q676" s="106"/>
      <c r="R676" s="106"/>
    </row>
    <row r="677" spans="1:18" ht="15" customHeight="1">
      <c r="A677" s="320"/>
      <c r="B677" s="320"/>
      <c r="C677" s="321"/>
      <c r="D677" s="35" t="s">
        <v>507</v>
      </c>
      <c r="E677" s="291">
        <v>0.021</v>
      </c>
      <c r="F677" s="98" t="s">
        <v>322</v>
      </c>
      <c r="G677" s="98" t="str">
        <f>CONCATENATE(D677," - ",E677,", ")</f>
        <v>G.I. Wire/GSL scrap - 0.021, </v>
      </c>
      <c r="H677" s="116"/>
      <c r="I677" s="106"/>
      <c r="J677" s="106"/>
      <c r="K677" s="106"/>
      <c r="L677" s="106"/>
      <c r="M677" s="106"/>
      <c r="N677" s="106"/>
      <c r="O677" s="106"/>
      <c r="P677" s="106"/>
      <c r="Q677" s="106"/>
      <c r="R677" s="106"/>
    </row>
    <row r="678" spans="1:18" ht="15" customHeight="1">
      <c r="A678" s="40"/>
      <c r="B678" s="42"/>
      <c r="C678" s="49"/>
      <c r="D678" s="39"/>
      <c r="E678" s="291"/>
      <c r="F678" s="98"/>
      <c r="G678" s="98"/>
      <c r="H678" s="116"/>
      <c r="I678" s="106"/>
      <c r="J678" s="106"/>
      <c r="K678" s="106"/>
      <c r="L678" s="106"/>
      <c r="M678" s="106"/>
      <c r="N678" s="106"/>
      <c r="O678" s="106"/>
      <c r="P678" s="106"/>
      <c r="Q678" s="106"/>
      <c r="R678" s="106"/>
    </row>
    <row r="679" spans="1:18" ht="15" customHeight="1">
      <c r="A679" s="54"/>
      <c r="B679" s="55"/>
      <c r="C679" s="55"/>
      <c r="D679" s="56"/>
      <c r="E679" s="264">
        <f>SUM(E681:E684)</f>
        <v>2.7849999999999997</v>
      </c>
      <c r="F679" s="98"/>
      <c r="G679" s="99" t="str">
        <f>CONCATENATE("Iron scrap of bush fixings, Lying at ",C680,". Quantity in MT - ")</f>
        <v>Iron scrap of bush fixings, Lying at Name of Store . Quantity in MT - </v>
      </c>
      <c r="H679" s="319" t="str">
        <f ca="1">CONCATENATE(G679,G680,(INDIRECT(I680)),(INDIRECT(J680)),(INDIRECT(K680)),(INDIRECT(L680)),(INDIRECT(M680)),(INDIRECT(N680)),(INDIRECT(O680)),(INDIRECT(P680)),(INDIRECT(Q680)),(INDIRECT(R680)),".")</f>
        <v>Iron scrap of bush fixings, Lying at Name of Store . Quantity in MT - Description of material - Quantity in MT, MS iron scrap - 1.912, MS Rail scrap - 0.8, Teen Patra scrap - 0.035, G.I. Scrap - 0.038, .</v>
      </c>
      <c r="I679" s="106" t="str">
        <f aca="true" ca="1" t="array" ref="I679">CELL("address",INDEX(G679:G838,MATCH(TRUE,ISBLANK(G679:G838),0)))</f>
        <v>$G$685</v>
      </c>
      <c r="J679" s="106">
        <f aca="true" t="array" ref="J679">MATCH(TRUE,ISBLANK(G679:G838),0)</f>
        <v>7</v>
      </c>
      <c r="K679" s="106">
        <f>J679-3</f>
        <v>4</v>
      </c>
      <c r="L679" s="106"/>
      <c r="M679" s="106"/>
      <c r="N679" s="106"/>
      <c r="O679" s="106"/>
      <c r="P679" s="106"/>
      <c r="Q679" s="106"/>
      <c r="R679" s="106"/>
    </row>
    <row r="680" spans="1:18" ht="15" customHeight="1">
      <c r="A680" s="320" t="s">
        <v>5</v>
      </c>
      <c r="B680" s="320"/>
      <c r="C680" s="41" t="s">
        <v>17</v>
      </c>
      <c r="D680" s="290" t="s">
        <v>18</v>
      </c>
      <c r="E680" s="40" t="s">
        <v>7</v>
      </c>
      <c r="F680" s="98"/>
      <c r="G680" s="98" t="str">
        <f>CONCATENATE(D680," - ",E680,", ")</f>
        <v>Description of material - Quantity in MT, </v>
      </c>
      <c r="H680" s="319"/>
      <c r="I680" s="106" t="str">
        <f ca="1">IF(J679&gt;=3,(MID(I679,2,1)&amp;MID(I679,4,3)-K679),CELL("address",Z680))</f>
        <v>G681</v>
      </c>
      <c r="J680" s="106" t="str">
        <f ca="1">IF(J679&gt;=4,(MID(I680,1,1)&amp;MID(I680,2,3)+1),CELL("address",AA680))</f>
        <v>G682</v>
      </c>
      <c r="K680" s="106" t="str">
        <f ca="1">IF(J679&gt;=5,(MID(J680,1,1)&amp;MID(J680,2,3)+1),CELL("address",AB680))</f>
        <v>G683</v>
      </c>
      <c r="L680" s="106" t="str">
        <f ca="1">IF(J679&gt;=6,(MID(K680,1,1)&amp;MID(K680,2,3)+1),CELL("address",AC680))</f>
        <v>G684</v>
      </c>
      <c r="M680" s="106" t="str">
        <f ca="1">IF(J679&gt;=7,(MID(L680,1,1)&amp;MID(L680,2,3)+1),CELL("address",AD680))</f>
        <v>G685</v>
      </c>
      <c r="N680" s="106" t="str">
        <f ca="1">IF(J679&gt;=8,(MID(M680,1,1)&amp;MID(M680,2,3)+1),CELL("address",AE680))</f>
        <v>$AE$680</v>
      </c>
      <c r="O680" s="106" t="str">
        <f ca="1">IF(J679&gt;=9,(MID(N680,1,1)&amp;MID(N680,2,3)+1),CELL("address",AF680))</f>
        <v>$AF$680</v>
      </c>
      <c r="P680" s="106" t="str">
        <f ca="1">IF(J679&gt;=10,(MID(O680,1,1)&amp;MID(O680,2,3)+1),CELL("address",AG680))</f>
        <v>$AG$680</v>
      </c>
      <c r="Q680" s="106" t="str">
        <f ca="1">IF(J679&gt;=11,(MID(P680,1,1)&amp;MID(P680,2,3)+1),CELL("address",AH680))</f>
        <v>$AH$680</v>
      </c>
      <c r="R680" s="106" t="str">
        <f ca="1">IF(J679&gt;=12,(MID(Q680,1,1)&amp;MID(Q680,2,3)+1),CELL("address",AI680))</f>
        <v>$AI$680</v>
      </c>
    </row>
    <row r="681" spans="1:18" ht="15" customHeight="1">
      <c r="A681" s="320" t="s">
        <v>547</v>
      </c>
      <c r="B681" s="320"/>
      <c r="C681" s="321" t="s">
        <v>63</v>
      </c>
      <c r="D681" s="235" t="s">
        <v>29</v>
      </c>
      <c r="E681" s="298">
        <v>1.912</v>
      </c>
      <c r="F681" s="98" t="s">
        <v>322</v>
      </c>
      <c r="G681" s="98" t="str">
        <f>CONCATENATE(D681," - ",E681,", ")</f>
        <v>MS iron scrap - 1.912, </v>
      </c>
      <c r="H681" s="116"/>
      <c r="I681" s="106"/>
      <c r="J681" s="106"/>
      <c r="K681" s="106"/>
      <c r="L681" s="106"/>
      <c r="M681" s="106"/>
      <c r="N681" s="106"/>
      <c r="O681" s="106"/>
      <c r="P681" s="106"/>
      <c r="Q681" s="106"/>
      <c r="R681" s="106"/>
    </row>
    <row r="682" spans="1:18" ht="15" customHeight="1">
      <c r="A682" s="320"/>
      <c r="B682" s="320"/>
      <c r="C682" s="321"/>
      <c r="D682" s="235" t="s">
        <v>61</v>
      </c>
      <c r="E682" s="298">
        <v>0.8</v>
      </c>
      <c r="F682" s="98" t="s">
        <v>322</v>
      </c>
      <c r="G682" s="98" t="str">
        <f>CONCATENATE(D682," - ",E682,", ")</f>
        <v>MS Rail scrap - 0.8, </v>
      </c>
      <c r="H682" s="116"/>
      <c r="I682" s="106"/>
      <c r="J682" s="106"/>
      <c r="K682" s="106"/>
      <c r="L682" s="106"/>
      <c r="M682" s="106"/>
      <c r="N682" s="106"/>
      <c r="O682" s="106"/>
      <c r="P682" s="106"/>
      <c r="Q682" s="106"/>
      <c r="R682" s="106"/>
    </row>
    <row r="683" spans="1:18" ht="15" customHeight="1">
      <c r="A683" s="320"/>
      <c r="B683" s="320"/>
      <c r="C683" s="321"/>
      <c r="D683" s="35" t="s">
        <v>64</v>
      </c>
      <c r="E683" s="291">
        <v>0.035</v>
      </c>
      <c r="F683" s="98" t="s">
        <v>322</v>
      </c>
      <c r="G683" s="98" t="str">
        <f>CONCATENATE(D683," - ",E683,", ")</f>
        <v>Teen Patra scrap - 0.035, </v>
      </c>
      <c r="H683" s="116"/>
      <c r="I683" s="106"/>
      <c r="J683" s="106"/>
      <c r="K683" s="106"/>
      <c r="L683" s="106"/>
      <c r="M683" s="106"/>
      <c r="N683" s="106"/>
      <c r="O683" s="106"/>
      <c r="P683" s="106"/>
      <c r="Q683" s="106"/>
      <c r="R683" s="106"/>
    </row>
    <row r="684" spans="1:18" ht="15" customHeight="1">
      <c r="A684" s="320"/>
      <c r="B684" s="320"/>
      <c r="C684" s="321"/>
      <c r="D684" s="236" t="s">
        <v>198</v>
      </c>
      <c r="E684" s="291">
        <v>0.038</v>
      </c>
      <c r="F684" s="98" t="s">
        <v>322</v>
      </c>
      <c r="G684" s="98" t="str">
        <f>CONCATENATE(D684," - ",E684,", ")</f>
        <v>G.I. Scrap - 0.038, </v>
      </c>
      <c r="H684" s="116"/>
      <c r="I684" s="106"/>
      <c r="J684" s="106"/>
      <c r="K684" s="106"/>
      <c r="L684" s="106"/>
      <c r="M684" s="106"/>
      <c r="N684" s="106"/>
      <c r="O684" s="106"/>
      <c r="P684" s="106"/>
      <c r="Q684" s="106"/>
      <c r="R684" s="106"/>
    </row>
    <row r="685" spans="1:18" ht="15" customHeight="1">
      <c r="A685" s="40"/>
      <c r="B685" s="42"/>
      <c r="C685" s="49"/>
      <c r="D685" s="39"/>
      <c r="E685" s="291"/>
      <c r="F685" s="98"/>
      <c r="G685" s="98"/>
      <c r="H685" s="116"/>
      <c r="I685" s="106"/>
      <c r="J685" s="106"/>
      <c r="K685" s="106"/>
      <c r="L685" s="106"/>
      <c r="M685" s="106"/>
      <c r="N685" s="106"/>
      <c r="O685" s="106"/>
      <c r="P685" s="106"/>
      <c r="Q685" s="106"/>
      <c r="R685" s="106"/>
    </row>
    <row r="686" spans="1:18" ht="15" customHeight="1">
      <c r="A686" s="54"/>
      <c r="B686" s="55"/>
      <c r="C686" s="55"/>
      <c r="D686" s="56"/>
      <c r="E686" s="264">
        <f>SUM(E688:E689)</f>
        <v>0.737</v>
      </c>
      <c r="F686" s="98"/>
      <c r="G686" s="98"/>
      <c r="H686" s="116"/>
      <c r="I686" s="106"/>
      <c r="J686" s="106"/>
      <c r="K686" s="106"/>
      <c r="L686" s="106"/>
      <c r="M686" s="106"/>
      <c r="N686" s="106"/>
      <c r="O686" s="106"/>
      <c r="P686" s="106"/>
      <c r="Q686" s="106"/>
      <c r="R686" s="106"/>
    </row>
    <row r="687" spans="1:18" ht="15" customHeight="1">
      <c r="A687" s="320" t="s">
        <v>5</v>
      </c>
      <c r="B687" s="320"/>
      <c r="C687" s="41" t="s">
        <v>17</v>
      </c>
      <c r="D687" s="290" t="s">
        <v>18</v>
      </c>
      <c r="E687" s="40" t="s">
        <v>7</v>
      </c>
      <c r="F687" s="98"/>
      <c r="G687" s="99" t="str">
        <f>CONCATENATE("Iron scrap of bush fixings, Lying at ",C688,". Quantity in MT - ")</f>
        <v>Iron scrap of bush fixings, Lying at OL Mansa. Quantity in MT - </v>
      </c>
      <c r="H687" s="319" t="str">
        <f ca="1">CONCATENATE(G687,G688,(INDIRECT(I688)),(INDIRECT(J688)),(INDIRECT(K688)),(INDIRECT(L688)),(INDIRECT(M688)),(INDIRECT(N688)),(INDIRECT(O688)),(INDIRECT(P688)),(INDIRECT(Q688)),(INDIRECT(R688)),".")</f>
        <v>Iron scrap of bush fixings, Lying at OL Mansa. Quantity in MT - MS iron scrap - 0.712, Teen Patra scrap - 0.025, .</v>
      </c>
      <c r="I687" s="106" t="str">
        <f aca="true" ca="1" t="array" ref="I687">CELL("address",INDEX(G687:G846,MATCH(TRUE,ISBLANK(G687:G846),0)))</f>
        <v>$G$690</v>
      </c>
      <c r="J687" s="106">
        <f aca="true" t="array" ref="J687">MATCH(TRUE,ISBLANK(G687:G846),0)</f>
        <v>4</v>
      </c>
      <c r="K687" s="106">
        <f>J687-3</f>
        <v>1</v>
      </c>
      <c r="L687" s="106"/>
      <c r="M687" s="106"/>
      <c r="N687" s="106"/>
      <c r="O687" s="106"/>
      <c r="P687" s="106"/>
      <c r="Q687" s="106"/>
      <c r="R687" s="106"/>
    </row>
    <row r="688" spans="1:18" ht="15" customHeight="1">
      <c r="A688" s="320" t="s">
        <v>548</v>
      </c>
      <c r="B688" s="320"/>
      <c r="C688" s="321" t="s">
        <v>59</v>
      </c>
      <c r="D688" s="235" t="s">
        <v>29</v>
      </c>
      <c r="E688" s="298">
        <v>0.712</v>
      </c>
      <c r="F688" s="98" t="s">
        <v>322</v>
      </c>
      <c r="G688" s="98" t="str">
        <f>CONCATENATE(D688," - ",E688,", ")</f>
        <v>MS iron scrap - 0.712, </v>
      </c>
      <c r="H688" s="319"/>
      <c r="I688" s="106" t="str">
        <f ca="1">IF(J687&gt;=3,(MID(I687,2,1)&amp;MID(I687,4,3)-K687),CELL("address",Z688))</f>
        <v>G689</v>
      </c>
      <c r="J688" s="106" t="str">
        <f ca="1">IF(J687&gt;=4,(MID(I688,1,1)&amp;MID(I688,2,3)+1),CELL("address",AA688))</f>
        <v>G690</v>
      </c>
      <c r="K688" s="106" t="str">
        <f ca="1">IF(J687&gt;=5,(MID(J688,1,1)&amp;MID(J688,2,3)+1),CELL("address",AB688))</f>
        <v>$AB$688</v>
      </c>
      <c r="L688" s="106" t="str">
        <f ca="1">IF(J687&gt;=6,(MID(K688,1,1)&amp;MID(K688,2,3)+1),CELL("address",AC688))</f>
        <v>$AC$688</v>
      </c>
      <c r="M688" s="106" t="str">
        <f ca="1">IF(J687&gt;=7,(MID(L688,1,1)&amp;MID(L688,2,3)+1),CELL("address",AD688))</f>
        <v>$AD$688</v>
      </c>
      <c r="N688" s="106" t="str">
        <f ca="1">IF(J687&gt;=8,(MID(M688,1,1)&amp;MID(M688,2,3)+1),CELL("address",AE688))</f>
        <v>$AE$688</v>
      </c>
      <c r="O688" s="106" t="str">
        <f ca="1">IF(J687&gt;=9,(MID(N688,1,1)&amp;MID(N688,2,3)+1),CELL("address",AF688))</f>
        <v>$AF$688</v>
      </c>
      <c r="P688" s="106" t="str">
        <f ca="1">IF(J687&gt;=10,(MID(O688,1,1)&amp;MID(O688,2,3)+1),CELL("address",AG688))</f>
        <v>$AG$688</v>
      </c>
      <c r="Q688" s="106" t="str">
        <f ca="1">IF(J687&gt;=11,(MID(P688,1,1)&amp;MID(P688,2,3)+1),CELL("address",AH688))</f>
        <v>$AH$688</v>
      </c>
      <c r="R688" s="106" t="str">
        <f ca="1">IF(J687&gt;=12,(MID(Q688,1,1)&amp;MID(Q688,2,3)+1),CELL("address",AI688))</f>
        <v>$AI$688</v>
      </c>
    </row>
    <row r="689" spans="1:18" ht="15" customHeight="1">
      <c r="A689" s="320"/>
      <c r="B689" s="320"/>
      <c r="C689" s="321"/>
      <c r="D689" s="35" t="s">
        <v>64</v>
      </c>
      <c r="E689" s="298">
        <v>0.025</v>
      </c>
      <c r="F689" s="98" t="s">
        <v>322</v>
      </c>
      <c r="G689" s="98" t="str">
        <f>CONCATENATE(D689," - ",E689,", ")</f>
        <v>Teen Patra scrap - 0.025, </v>
      </c>
      <c r="H689" s="116"/>
      <c r="I689" s="106"/>
      <c r="J689" s="106"/>
      <c r="K689" s="106"/>
      <c r="L689" s="106"/>
      <c r="M689" s="106"/>
      <c r="N689" s="106"/>
      <c r="O689" s="106"/>
      <c r="P689" s="106"/>
      <c r="Q689" s="106"/>
      <c r="R689" s="106"/>
    </row>
    <row r="690" spans="1:18" ht="15" customHeight="1">
      <c r="A690" s="40"/>
      <c r="B690" s="42"/>
      <c r="C690" s="49"/>
      <c r="D690" s="39"/>
      <c r="E690" s="291"/>
      <c r="F690" s="98"/>
      <c r="G690" s="98"/>
      <c r="H690" s="116"/>
      <c r="I690" s="106"/>
      <c r="J690" s="106"/>
      <c r="K690" s="106"/>
      <c r="L690" s="106"/>
      <c r="M690" s="106"/>
      <c r="N690" s="106"/>
      <c r="O690" s="106"/>
      <c r="P690" s="106"/>
      <c r="Q690" s="106"/>
      <c r="R690" s="106"/>
    </row>
    <row r="691" spans="1:18" ht="15" customHeight="1">
      <c r="A691" s="54"/>
      <c r="B691" s="55"/>
      <c r="C691" s="55"/>
      <c r="D691" s="57"/>
      <c r="E691" s="53">
        <f>SUM(E693:E694)</f>
        <v>0.7769999999999992</v>
      </c>
      <c r="F691" s="98"/>
      <c r="G691" s="98"/>
      <c r="H691" s="116"/>
      <c r="I691" s="106"/>
      <c r="J691" s="106"/>
      <c r="K691" s="106"/>
      <c r="L691" s="106"/>
      <c r="M691" s="106"/>
      <c r="N691" s="106"/>
      <c r="O691" s="106"/>
      <c r="P691" s="106"/>
      <c r="Q691" s="106"/>
      <c r="R691" s="106"/>
    </row>
    <row r="692" spans="1:18" ht="15" customHeight="1">
      <c r="A692" s="328" t="s">
        <v>5</v>
      </c>
      <c r="B692" s="328"/>
      <c r="C692" s="24" t="s">
        <v>17</v>
      </c>
      <c r="D692" s="73" t="s">
        <v>18</v>
      </c>
      <c r="E692" s="24" t="s">
        <v>7</v>
      </c>
      <c r="F692" s="98"/>
      <c r="G692" s="99" t="str">
        <f>CONCATENATE("Iron scrap of bush fixings, Lying at ",C693,". Quantity in MT - ")</f>
        <v>Iron scrap of bush fixings, Lying at OL Moga. Quantity in MT - </v>
      </c>
      <c r="H692" s="319" t="s">
        <v>556</v>
      </c>
      <c r="I692" s="106" t="str">
        <f aca="true" ca="1" t="array" ref="I692">CELL("address",INDEX(G692:G851,MATCH(TRUE,ISBLANK(G692:G851),0)))</f>
        <v>$G$695</v>
      </c>
      <c r="J692" s="106">
        <f aca="true" t="array" ref="J692">MATCH(TRUE,ISBLANK(G692:G851),0)</f>
        <v>4</v>
      </c>
      <c r="K692" s="106">
        <f>J692-3</f>
        <v>1</v>
      </c>
      <c r="L692" s="106"/>
      <c r="M692" s="106"/>
      <c r="N692" s="106"/>
      <c r="O692" s="106"/>
      <c r="P692" s="106"/>
      <c r="Q692" s="106"/>
      <c r="R692" s="106"/>
    </row>
    <row r="693" spans="1:18" ht="15" customHeight="1">
      <c r="A693" s="320" t="s">
        <v>553</v>
      </c>
      <c r="B693" s="320"/>
      <c r="C693" s="321" t="s">
        <v>271</v>
      </c>
      <c r="D693" s="235" t="s">
        <v>29</v>
      </c>
      <c r="E693" s="293">
        <v>0.6969999999999992</v>
      </c>
      <c r="F693" s="98" t="s">
        <v>322</v>
      </c>
      <c r="G693" s="98" t="str">
        <f>CONCATENATE(D693," - ",E693,", ")</f>
        <v>MS iron scrap - 0.696999999999999, </v>
      </c>
      <c r="H693" s="319"/>
      <c r="I693" s="106" t="str">
        <f ca="1">IF(J692&gt;=3,(MID(I692,2,1)&amp;MID(I692,4,3)-K692),CELL("address",Z693))</f>
        <v>G694</v>
      </c>
      <c r="J693" s="106" t="str">
        <f ca="1">IF(J692&gt;=4,(MID(I693,1,1)&amp;MID(I693,2,3)+1),CELL("address",AA693))</f>
        <v>G695</v>
      </c>
      <c r="K693" s="106" t="str">
        <f ca="1">IF(J692&gt;=5,(MID(J693,1,1)&amp;MID(J693,2,3)+1),CELL("address",AB693))</f>
        <v>$AB$693</v>
      </c>
      <c r="L693" s="106" t="str">
        <f ca="1">IF(J692&gt;=6,(MID(K693,1,1)&amp;MID(K693,2,3)+1),CELL("address",AC693))</f>
        <v>$AC$693</v>
      </c>
      <c r="M693" s="106" t="str">
        <f ca="1">IF(J692&gt;=7,(MID(L693,1,1)&amp;MID(L693,2,3)+1),CELL("address",AD693))</f>
        <v>$AD$693</v>
      </c>
      <c r="N693" s="106" t="str">
        <f ca="1">IF(J692&gt;=8,(MID(M693,1,1)&amp;MID(M693,2,3)+1),CELL("address",AE693))</f>
        <v>$AE$693</v>
      </c>
      <c r="O693" s="106" t="str">
        <f ca="1">IF(J692&gt;=9,(MID(N693,1,1)&amp;MID(N693,2,3)+1),CELL("address",AF693))</f>
        <v>$AF$693</v>
      </c>
      <c r="P693" s="106" t="str">
        <f ca="1">IF(J692&gt;=10,(MID(O693,1,1)&amp;MID(O693,2,3)+1),CELL("address",AG693))</f>
        <v>$AG$693</v>
      </c>
      <c r="Q693" s="106" t="str">
        <f ca="1">IF(J692&gt;=11,(MID(P693,1,1)&amp;MID(P693,2,3)+1),CELL("address",AH693))</f>
        <v>$AH$693</v>
      </c>
      <c r="R693" s="106" t="str">
        <f ca="1">IF(J692&gt;=12,(MID(Q693,1,1)&amp;MID(Q693,2,3)+1),CELL("address",AI693))</f>
        <v>$AI$693</v>
      </c>
    </row>
    <row r="694" spans="1:18" ht="15" customHeight="1">
      <c r="A694" s="320"/>
      <c r="B694" s="320"/>
      <c r="C694" s="321"/>
      <c r="D694" s="236" t="s">
        <v>60</v>
      </c>
      <c r="E694" s="293">
        <v>0.08000000000000007</v>
      </c>
      <c r="F694" s="98" t="s">
        <v>322</v>
      </c>
      <c r="G694" s="98" t="str">
        <f>CONCATENATE(D694," - ",E694,", ")</f>
        <v>Transformer body scrap - 0.0800000000000001, </v>
      </c>
      <c r="H694" s="116"/>
      <c r="I694" s="106"/>
      <c r="J694" s="106"/>
      <c r="K694" s="106"/>
      <c r="L694" s="106"/>
      <c r="M694" s="106"/>
      <c r="N694" s="106"/>
      <c r="O694" s="106"/>
      <c r="P694" s="106"/>
      <c r="Q694" s="106"/>
      <c r="R694" s="106"/>
    </row>
    <row r="695" spans="1:18" ht="15" customHeight="1">
      <c r="A695" s="40"/>
      <c r="B695" s="42"/>
      <c r="C695" s="49"/>
      <c r="D695" s="39"/>
      <c r="E695" s="291"/>
      <c r="F695" s="98"/>
      <c r="G695" s="98"/>
      <c r="H695" s="116"/>
      <c r="I695" s="106"/>
      <c r="J695" s="106"/>
      <c r="K695" s="106"/>
      <c r="L695" s="106"/>
      <c r="M695" s="106"/>
      <c r="N695" s="106"/>
      <c r="O695" s="106"/>
      <c r="P695" s="106"/>
      <c r="Q695" s="106"/>
      <c r="R695" s="106"/>
    </row>
    <row r="696" spans="1:18" ht="15" customHeight="1">
      <c r="A696" s="54"/>
      <c r="B696" s="55"/>
      <c r="C696" s="55"/>
      <c r="D696" s="56"/>
      <c r="E696" s="264">
        <f>SUM(E698:E699)</f>
        <v>1.035</v>
      </c>
      <c r="F696" s="98"/>
      <c r="G696" s="98"/>
      <c r="H696" s="116"/>
      <c r="I696" s="106"/>
      <c r="J696" s="106"/>
      <c r="K696" s="106"/>
      <c r="L696" s="106"/>
      <c r="M696" s="106"/>
      <c r="N696" s="106"/>
      <c r="O696" s="106"/>
      <c r="P696" s="106"/>
      <c r="Q696" s="106"/>
      <c r="R696" s="106"/>
    </row>
    <row r="697" spans="1:18" ht="15" customHeight="1">
      <c r="A697" s="320" t="s">
        <v>5</v>
      </c>
      <c r="B697" s="320"/>
      <c r="C697" s="41" t="s">
        <v>17</v>
      </c>
      <c r="D697" s="290" t="s">
        <v>18</v>
      </c>
      <c r="E697" s="40" t="s">
        <v>7</v>
      </c>
      <c r="F697" s="98"/>
      <c r="G697" s="99" t="str">
        <f>CONCATENATE("Iron scrap of bush fixings, Lying at ",C698,". Quantity in MT - ")</f>
        <v>Iron scrap of bush fixings, Lying at OL Patran. Quantity in MT - </v>
      </c>
      <c r="H697" s="319" t="str">
        <f ca="1">CONCATENATE(G697,G698,(INDIRECT(I698)),(INDIRECT(J698)),(INDIRECT(K698)),(INDIRECT(L698)),(INDIRECT(M698)),(INDIRECT(N698)),(INDIRECT(O698)),(INDIRECT(P698)),(INDIRECT(Q698)),(INDIRECT(R698)),".")</f>
        <v>Iron scrap of bush fixings, Lying at OL Patran. Quantity in MT - MS iron scrap - 1.005, Teen Patra scrap - 0.03,  - , .</v>
      </c>
      <c r="I697" s="106" t="str">
        <f aca="true" ca="1" t="array" ref="I697">CELL("address",INDEX(G697:G856,MATCH(TRUE,ISBLANK(G697:G856),0)))</f>
        <v>$G$701</v>
      </c>
      <c r="J697" s="106">
        <f aca="true" t="array" ref="J697">MATCH(TRUE,ISBLANK(G697:G856),0)</f>
        <v>5</v>
      </c>
      <c r="K697" s="106">
        <f>J697-3</f>
        <v>2</v>
      </c>
      <c r="L697" s="106"/>
      <c r="M697" s="106"/>
      <c r="N697" s="106"/>
      <c r="O697" s="106"/>
      <c r="P697" s="106"/>
      <c r="Q697" s="106"/>
      <c r="R697" s="106"/>
    </row>
    <row r="698" spans="1:18" ht="15" customHeight="1">
      <c r="A698" s="320" t="s">
        <v>554</v>
      </c>
      <c r="B698" s="320"/>
      <c r="C698" s="321" t="s">
        <v>102</v>
      </c>
      <c r="D698" s="235" t="s">
        <v>29</v>
      </c>
      <c r="E698" s="298">
        <v>1.005</v>
      </c>
      <c r="F698" s="98" t="s">
        <v>322</v>
      </c>
      <c r="G698" s="98" t="str">
        <f>CONCATENATE(D698," - ",E698,", ")</f>
        <v>MS iron scrap - 1.005, </v>
      </c>
      <c r="H698" s="319"/>
      <c r="I698" s="106" t="str">
        <f ca="1">IF(J697&gt;=3,(MID(I697,2,1)&amp;MID(I697,4,3)-K697),CELL("address",Z698))</f>
        <v>G699</v>
      </c>
      <c r="J698" s="106" t="str">
        <f ca="1">IF(J697&gt;=4,(MID(I698,1,1)&amp;MID(I698,2,3)+1),CELL("address",AA698))</f>
        <v>G700</v>
      </c>
      <c r="K698" s="106" t="str">
        <f ca="1">IF(J697&gt;=5,(MID(J698,1,1)&amp;MID(J698,2,3)+1),CELL("address",AB698))</f>
        <v>G701</v>
      </c>
      <c r="L698" s="106" t="str">
        <f ca="1">IF(J697&gt;=6,(MID(K698,1,1)&amp;MID(K698,2,3)+1),CELL("address",AC698))</f>
        <v>$AC$698</v>
      </c>
      <c r="M698" s="106" t="str">
        <f ca="1">IF(J697&gt;=7,(MID(L698,1,1)&amp;MID(L698,2,3)+1),CELL("address",AD698))</f>
        <v>$AD$698</v>
      </c>
      <c r="N698" s="106" t="str">
        <f ca="1">IF(J697&gt;=8,(MID(M698,1,1)&amp;MID(M698,2,3)+1),CELL("address",AE698))</f>
        <v>$AE$698</v>
      </c>
      <c r="O698" s="106" t="str">
        <f ca="1">IF(J697&gt;=9,(MID(N698,1,1)&amp;MID(N698,2,3)+1),CELL("address",AF698))</f>
        <v>$AF$698</v>
      </c>
      <c r="P698" s="106" t="str">
        <f ca="1">IF(J697&gt;=10,(MID(O698,1,1)&amp;MID(O698,2,3)+1),CELL("address",AG698))</f>
        <v>$AG$698</v>
      </c>
      <c r="Q698" s="106" t="str">
        <f ca="1">IF(J697&gt;=11,(MID(P698,1,1)&amp;MID(P698,2,3)+1),CELL("address",AH698))</f>
        <v>$AH$698</v>
      </c>
      <c r="R698" s="106" t="str">
        <f ca="1">IF(J697&gt;=12,(MID(Q698,1,1)&amp;MID(Q698,2,3)+1),CELL("address",AI698))</f>
        <v>$AI$698</v>
      </c>
    </row>
    <row r="699" spans="1:18" ht="15" customHeight="1">
      <c r="A699" s="320"/>
      <c r="B699" s="320"/>
      <c r="C699" s="321"/>
      <c r="D699" s="35" t="s">
        <v>64</v>
      </c>
      <c r="E699" s="298">
        <v>0.03</v>
      </c>
      <c r="F699" s="98" t="s">
        <v>322</v>
      </c>
      <c r="G699" s="98" t="str">
        <f>CONCATENATE(D699," - ",E699,", ")</f>
        <v>Teen Patra scrap - 0.03, </v>
      </c>
      <c r="H699" s="116"/>
      <c r="I699" s="106"/>
      <c r="J699" s="106"/>
      <c r="K699" s="106"/>
      <c r="L699" s="106"/>
      <c r="M699" s="106"/>
      <c r="N699" s="106"/>
      <c r="O699" s="106"/>
      <c r="P699" s="106"/>
      <c r="Q699" s="106"/>
      <c r="R699" s="106"/>
    </row>
    <row r="700" spans="1:18" ht="15" customHeight="1">
      <c r="A700" s="40"/>
      <c r="B700" s="42"/>
      <c r="C700" s="49"/>
      <c r="D700" s="39"/>
      <c r="E700" s="291"/>
      <c r="F700" s="98"/>
      <c r="G700" s="98" t="str">
        <f>CONCATENATE(D700," - ",E700,", ")</f>
        <v> - , </v>
      </c>
      <c r="H700" s="116"/>
      <c r="I700" s="106"/>
      <c r="J700" s="106"/>
      <c r="K700" s="106"/>
      <c r="L700" s="106"/>
      <c r="M700" s="106"/>
      <c r="N700" s="106"/>
      <c r="O700" s="106"/>
      <c r="P700" s="106"/>
      <c r="Q700" s="106"/>
      <c r="R700" s="106"/>
    </row>
    <row r="701" spans="1:8" ht="18.75" customHeight="1">
      <c r="A701" s="363" t="s">
        <v>289</v>
      </c>
      <c r="B701" s="364"/>
      <c r="C701" s="364"/>
      <c r="D701" s="364"/>
      <c r="E701" s="364"/>
      <c r="F701" s="98"/>
      <c r="H701" s="110"/>
    </row>
    <row r="702" spans="1:8" ht="15" customHeight="1">
      <c r="A702" s="339" t="s">
        <v>5</v>
      </c>
      <c r="B702" s="340"/>
      <c r="C702" s="339" t="s">
        <v>6</v>
      </c>
      <c r="D702" s="340"/>
      <c r="E702" s="294" t="s">
        <v>7</v>
      </c>
      <c r="F702" s="98"/>
      <c r="G702" s="100"/>
      <c r="H702" s="111"/>
    </row>
    <row r="703" spans="1:8" ht="15" customHeight="1">
      <c r="A703" s="320" t="s">
        <v>124</v>
      </c>
      <c r="B703" s="320"/>
      <c r="C703" s="334" t="s">
        <v>112</v>
      </c>
      <c r="D703" s="334"/>
      <c r="E703" s="285">
        <v>1.293</v>
      </c>
      <c r="F703" s="98">
        <v>1.293</v>
      </c>
      <c r="G703" s="101"/>
      <c r="H703" s="99" t="str">
        <f aca="true" t="shared" si="4" ref="H703:H716">CONCATENATE("Wooden scrap (without iron parts), Lying at ",C703,". Quantity in MT - ",E703,)</f>
        <v>Wooden scrap (without iron parts), Lying at OL Fazilka. Quantity in MT - 1.293</v>
      </c>
    </row>
    <row r="704" spans="1:8" ht="15" customHeight="1">
      <c r="A704" s="320" t="s">
        <v>127</v>
      </c>
      <c r="B704" s="320"/>
      <c r="C704" s="329" t="s">
        <v>95</v>
      </c>
      <c r="D704" s="329"/>
      <c r="E704" s="285">
        <v>0.421</v>
      </c>
      <c r="F704" s="98">
        <v>0.159</v>
      </c>
      <c r="H704" s="99" t="str">
        <f t="shared" si="4"/>
        <v>Wooden scrap (without iron parts), Lying at CS Malout. Quantity in MT - 0.421</v>
      </c>
    </row>
    <row r="705" spans="1:8" ht="15" customHeight="1">
      <c r="A705" s="320" t="s">
        <v>128</v>
      </c>
      <c r="B705" s="320"/>
      <c r="C705" s="334" t="s">
        <v>102</v>
      </c>
      <c r="D705" s="334"/>
      <c r="E705" s="298">
        <v>0.597</v>
      </c>
      <c r="F705" s="98">
        <v>0.52</v>
      </c>
      <c r="H705" s="99" t="str">
        <f t="shared" si="4"/>
        <v>Wooden scrap (without iron parts), Lying at OL Patran. Quantity in MT - 0.597</v>
      </c>
    </row>
    <row r="706" spans="1:8" ht="15" customHeight="1">
      <c r="A706" s="320" t="s">
        <v>129</v>
      </c>
      <c r="B706" s="320"/>
      <c r="C706" s="329" t="s">
        <v>43</v>
      </c>
      <c r="D706" s="329"/>
      <c r="E706" s="298">
        <v>4.968</v>
      </c>
      <c r="F706" s="98">
        <v>1.21</v>
      </c>
      <c r="H706" s="99" t="str">
        <f t="shared" si="4"/>
        <v>Wooden scrap (without iron parts), Lying at CS Kotkapura. Quantity in MT - 4.968</v>
      </c>
    </row>
    <row r="707" spans="1:8" ht="15" customHeight="1">
      <c r="A707" s="320" t="s">
        <v>130</v>
      </c>
      <c r="B707" s="320"/>
      <c r="C707" s="329" t="s">
        <v>79</v>
      </c>
      <c r="D707" s="329"/>
      <c r="E707" s="298">
        <v>1.796</v>
      </c>
      <c r="F707" s="98">
        <v>1.08</v>
      </c>
      <c r="H707" s="99" t="str">
        <f t="shared" si="4"/>
        <v>Wooden scrap (without iron parts), Lying at CS Sangrur. Quantity in MT - 1.796</v>
      </c>
    </row>
    <row r="708" spans="1:8" ht="15" customHeight="1">
      <c r="A708" s="320" t="s">
        <v>131</v>
      </c>
      <c r="B708" s="320"/>
      <c r="C708" s="334" t="s">
        <v>126</v>
      </c>
      <c r="D708" s="334"/>
      <c r="E708" s="298">
        <v>1.275</v>
      </c>
      <c r="F708" s="98">
        <v>0.805</v>
      </c>
      <c r="H708" s="99" t="str">
        <f t="shared" si="4"/>
        <v>Wooden scrap (without iron parts), Lying at OL Malerkotla. Quantity in MT - 1.275</v>
      </c>
    </row>
    <row r="709" spans="1:8" ht="15" customHeight="1">
      <c r="A709" s="320" t="s">
        <v>137</v>
      </c>
      <c r="B709" s="320"/>
      <c r="C709" s="334" t="s">
        <v>100</v>
      </c>
      <c r="D709" s="334"/>
      <c r="E709" s="312">
        <v>0.338</v>
      </c>
      <c r="F709" s="98"/>
      <c r="H709" s="99" t="str">
        <f t="shared" si="4"/>
        <v>Wooden scrap (without iron parts), Lying at OL Bhagta Bhai Ka. Quantity in MT - 0.338</v>
      </c>
    </row>
    <row r="710" spans="1:8" ht="15" customHeight="1">
      <c r="A710" s="320" t="s">
        <v>138</v>
      </c>
      <c r="B710" s="320"/>
      <c r="C710" s="369" t="s">
        <v>59</v>
      </c>
      <c r="D710" s="369"/>
      <c r="E710" s="70">
        <v>0.4</v>
      </c>
      <c r="F710" s="98"/>
      <c r="H710" s="99" t="str">
        <f t="shared" si="4"/>
        <v>Wooden scrap (without iron parts), Lying at OL Mansa. Quantity in MT - 0.4</v>
      </c>
    </row>
    <row r="711" spans="1:8" ht="15" customHeight="1">
      <c r="A711" s="320" t="s">
        <v>139</v>
      </c>
      <c r="B711" s="320"/>
      <c r="C711" s="320" t="s">
        <v>99</v>
      </c>
      <c r="D711" s="320"/>
      <c r="E711" s="70">
        <v>4.39</v>
      </c>
      <c r="F711" s="98"/>
      <c r="H711" s="99" t="str">
        <f t="shared" si="4"/>
        <v>Wooden scrap (without iron parts), Lying at CS Ferozepur. Quantity in MT - 4.39</v>
      </c>
    </row>
    <row r="712" spans="1:8" ht="15" customHeight="1">
      <c r="A712" s="320" t="s">
        <v>140</v>
      </c>
      <c r="B712" s="320"/>
      <c r="C712" s="369" t="s">
        <v>98</v>
      </c>
      <c r="D712" s="370"/>
      <c r="E712" s="70">
        <v>0.303</v>
      </c>
      <c r="F712" s="98"/>
      <c r="H712" s="99" t="str">
        <f t="shared" si="4"/>
        <v>Wooden scrap (without iron parts), Lying at OL Ropar. Quantity in MT - 0.303</v>
      </c>
    </row>
    <row r="713" spans="1:8" ht="15" customHeight="1">
      <c r="A713" s="320" t="s">
        <v>144</v>
      </c>
      <c r="B713" s="320"/>
      <c r="C713" s="334" t="s">
        <v>271</v>
      </c>
      <c r="D713" s="362"/>
      <c r="E713" s="298">
        <v>0.376</v>
      </c>
      <c r="F713" s="98">
        <v>0.29</v>
      </c>
      <c r="H713" s="99" t="str">
        <f t="shared" si="4"/>
        <v>Wooden scrap (without iron parts), Lying at OL Moga. Quantity in MT - 0.376</v>
      </c>
    </row>
    <row r="714" spans="1:8" ht="15" customHeight="1">
      <c r="A714" s="320" t="s">
        <v>477</v>
      </c>
      <c r="B714" s="320"/>
      <c r="C714" s="338" t="s">
        <v>478</v>
      </c>
      <c r="D714" s="338"/>
      <c r="E714" s="298">
        <v>0.5</v>
      </c>
      <c r="F714" s="98" t="s">
        <v>243</v>
      </c>
      <c r="H714" s="99" t="str">
        <f t="shared" si="4"/>
        <v>Wooden scrap (without iron parts), Lying at OL Shri Mukatsar Sahib. Quantity in MT - 0.5</v>
      </c>
    </row>
    <row r="715" spans="1:8" ht="15" customHeight="1">
      <c r="A715" s="320" t="s">
        <v>502</v>
      </c>
      <c r="B715" s="320"/>
      <c r="C715" s="334" t="s">
        <v>190</v>
      </c>
      <c r="D715" s="334"/>
      <c r="E715" s="293">
        <v>0.625</v>
      </c>
      <c r="F715" s="98" t="s">
        <v>322</v>
      </c>
      <c r="H715" s="99" t="str">
        <f t="shared" si="4"/>
        <v>Wooden scrap (without iron parts), Lying at OL Barnala. Quantity in MT - 0.625</v>
      </c>
    </row>
    <row r="716" spans="1:8" ht="15" customHeight="1" thickBot="1">
      <c r="A716" s="320" t="s">
        <v>549</v>
      </c>
      <c r="B716" s="320"/>
      <c r="C716" s="338" t="s">
        <v>63</v>
      </c>
      <c r="D716" s="338"/>
      <c r="E716" s="293">
        <v>0.199</v>
      </c>
      <c r="F716" s="98" t="s">
        <v>322</v>
      </c>
      <c r="H716" s="99" t="str">
        <f t="shared" si="4"/>
        <v>Wooden scrap (without iron parts), Lying at CS Bathinda. Quantity in MT - 0.199</v>
      </c>
    </row>
    <row r="717" spans="1:8" ht="20.25" customHeight="1" thickBot="1">
      <c r="A717" s="360" t="s">
        <v>14</v>
      </c>
      <c r="B717" s="361"/>
      <c r="C717" s="301"/>
      <c r="D717" s="301"/>
      <c r="E717" s="266">
        <f>SUM(E703:E716)</f>
        <v>17.481</v>
      </c>
      <c r="F717" s="98"/>
      <c r="H717" s="99"/>
    </row>
    <row r="718" spans="1:8" ht="15" customHeight="1">
      <c r="A718" s="20"/>
      <c r="B718" s="20"/>
      <c r="C718" s="16"/>
      <c r="D718" s="16"/>
      <c r="E718" s="267"/>
      <c r="F718" s="98"/>
      <c r="H718" s="110"/>
    </row>
    <row r="719" spans="1:8" ht="15" customHeight="1">
      <c r="A719" s="375" t="s">
        <v>11</v>
      </c>
      <c r="B719" s="376"/>
      <c r="C719" s="376"/>
      <c r="D719" s="376"/>
      <c r="E719" s="376"/>
      <c r="F719" s="98"/>
      <c r="H719" s="110"/>
    </row>
    <row r="720" spans="1:8" ht="15" customHeight="1">
      <c r="A720" s="17"/>
      <c r="B720" s="18"/>
      <c r="C720" s="18"/>
      <c r="D720" s="18"/>
      <c r="E720" s="18"/>
      <c r="F720" s="98"/>
      <c r="H720" s="110"/>
    </row>
    <row r="721" spans="1:8" ht="15" customHeight="1">
      <c r="A721" s="367" t="s">
        <v>8</v>
      </c>
      <c r="B721" s="368"/>
      <c r="C721" s="368"/>
      <c r="D721" s="368"/>
      <c r="E721" s="368"/>
      <c r="F721" s="98"/>
      <c r="H721" s="110"/>
    </row>
    <row r="722" spans="1:8" ht="15" customHeight="1">
      <c r="A722" s="41" t="s">
        <v>5</v>
      </c>
      <c r="B722" s="321" t="s">
        <v>17</v>
      </c>
      <c r="C722" s="321"/>
      <c r="D722" s="290" t="s">
        <v>18</v>
      </c>
      <c r="E722" s="40" t="s">
        <v>76</v>
      </c>
      <c r="F722" s="98"/>
      <c r="H722" s="99"/>
    </row>
    <row r="723" spans="1:8" ht="15" customHeight="1">
      <c r="A723" s="41" t="s">
        <v>78</v>
      </c>
      <c r="B723" s="356" t="s">
        <v>108</v>
      </c>
      <c r="C723" s="356"/>
      <c r="D723" s="292" t="s">
        <v>77</v>
      </c>
      <c r="E723" s="268">
        <v>37</v>
      </c>
      <c r="F723" s="98">
        <v>32</v>
      </c>
      <c r="H723" s="99" t="str">
        <f>CONCATENATE("CT/PT Units, Lying at ",B723,". Quantity in No - ",E723,)</f>
        <v>CT/PT Units, Lying at Central Store Kotkapura. Quantity in No - 37</v>
      </c>
    </row>
    <row r="724" spans="1:8" ht="15" customHeight="1">
      <c r="A724" s="40"/>
      <c r="B724" s="79"/>
      <c r="C724" s="79"/>
      <c r="D724" s="289"/>
      <c r="E724" s="269"/>
      <c r="F724" s="98"/>
      <c r="H724" s="110"/>
    </row>
    <row r="725" spans="1:8" ht="15" customHeight="1">
      <c r="A725" s="41" t="s">
        <v>5</v>
      </c>
      <c r="B725" s="321" t="s">
        <v>17</v>
      </c>
      <c r="C725" s="321"/>
      <c r="D725" s="290" t="s">
        <v>18</v>
      </c>
      <c r="E725" s="40" t="s">
        <v>76</v>
      </c>
      <c r="F725" s="98"/>
      <c r="H725" s="110"/>
    </row>
    <row r="726" spans="1:8" ht="15" customHeight="1">
      <c r="A726" s="41" t="s">
        <v>121</v>
      </c>
      <c r="B726" s="356" t="s">
        <v>159</v>
      </c>
      <c r="C726" s="356"/>
      <c r="D726" s="41" t="s">
        <v>77</v>
      </c>
      <c r="E726" s="262">
        <v>21</v>
      </c>
      <c r="F726" s="98"/>
      <c r="H726" s="99" t="str">
        <f>CONCATENATE("CT/PT Units, Lying at ",B726,". Quantity in No - ",E726,)</f>
        <v>CT/PT Units, Lying at Central Store Patiala. Quantity in No - 21</v>
      </c>
    </row>
    <row r="727" spans="1:8" ht="15" customHeight="1">
      <c r="A727" s="40"/>
      <c r="B727" s="85"/>
      <c r="C727" s="85"/>
      <c r="D727" s="42"/>
      <c r="E727" s="263"/>
      <c r="F727" s="98"/>
      <c r="H727" s="110"/>
    </row>
    <row r="728" spans="1:8" ht="15" customHeight="1">
      <c r="A728" s="41" t="s">
        <v>5</v>
      </c>
      <c r="B728" s="321" t="s">
        <v>17</v>
      </c>
      <c r="C728" s="321"/>
      <c r="D728" s="290" t="s">
        <v>18</v>
      </c>
      <c r="E728" s="40" t="s">
        <v>76</v>
      </c>
      <c r="F728" s="98"/>
      <c r="H728" s="110"/>
    </row>
    <row r="729" spans="1:8" ht="15" customHeight="1">
      <c r="A729" s="41" t="s">
        <v>197</v>
      </c>
      <c r="B729" s="356" t="s">
        <v>185</v>
      </c>
      <c r="C729" s="356"/>
      <c r="D729" s="41" t="s">
        <v>77</v>
      </c>
      <c r="E729" s="262">
        <v>39</v>
      </c>
      <c r="F729" s="98"/>
      <c r="H729" s="99" t="str">
        <f>CONCATENATE("CT/PT Units, Lying at ",B729,". Quantity in No - ",E729,)</f>
        <v>CT/PT Units, Lying at Outlet store Ropar. Quantity in No - 39</v>
      </c>
    </row>
    <row r="730" spans="1:8" ht="15" customHeight="1">
      <c r="A730" s="40"/>
      <c r="B730" s="85"/>
      <c r="C730" s="85"/>
      <c r="D730" s="289"/>
      <c r="E730" s="269"/>
      <c r="F730" s="98"/>
      <c r="H730" s="110"/>
    </row>
    <row r="731" spans="1:8" ht="15" customHeight="1">
      <c r="A731" s="41" t="s">
        <v>5</v>
      </c>
      <c r="B731" s="321" t="s">
        <v>17</v>
      </c>
      <c r="C731" s="321"/>
      <c r="D731" s="290" t="s">
        <v>18</v>
      </c>
      <c r="E731" s="40" t="s">
        <v>76</v>
      </c>
      <c r="F731" s="98"/>
      <c r="H731" s="110"/>
    </row>
    <row r="732" spans="1:8" ht="15" customHeight="1">
      <c r="A732" s="41" t="s">
        <v>206</v>
      </c>
      <c r="B732" s="356" t="s">
        <v>209</v>
      </c>
      <c r="C732" s="356"/>
      <c r="D732" s="292" t="s">
        <v>77</v>
      </c>
      <c r="E732" s="268">
        <v>42</v>
      </c>
      <c r="F732" s="98">
        <v>37</v>
      </c>
      <c r="H732" s="99" t="str">
        <f>CONCATENATE("CT/PT Units, Lying at ",B732,". Quantity in No - ",E732,)</f>
        <v>CT/PT Units, Lying at Central Store Sangrur. Quantity in No - 42</v>
      </c>
    </row>
    <row r="733" spans="1:8" ht="15" customHeight="1">
      <c r="A733" s="40"/>
      <c r="B733" s="85"/>
      <c r="C733" s="85"/>
      <c r="D733" s="289"/>
      <c r="E733" s="269"/>
      <c r="F733" s="98"/>
      <c r="H733" s="99"/>
    </row>
    <row r="734" spans="1:8" ht="15" customHeight="1">
      <c r="A734" s="41" t="s">
        <v>5</v>
      </c>
      <c r="B734" s="321" t="s">
        <v>17</v>
      </c>
      <c r="C734" s="321"/>
      <c r="D734" s="290" t="s">
        <v>18</v>
      </c>
      <c r="E734" s="40" t="s">
        <v>76</v>
      </c>
      <c r="F734" s="98"/>
      <c r="H734" s="99"/>
    </row>
    <row r="735" spans="1:8" ht="15" customHeight="1">
      <c r="A735" s="41" t="s">
        <v>280</v>
      </c>
      <c r="B735" s="356" t="s">
        <v>295</v>
      </c>
      <c r="C735" s="356"/>
      <c r="D735" s="292" t="s">
        <v>77</v>
      </c>
      <c r="E735" s="268">
        <v>41</v>
      </c>
      <c r="F735" s="98">
        <v>32</v>
      </c>
      <c r="H735" s="99" t="str">
        <f>CONCATENATE("CT/PT Units, Lying at ",B735,". Quantity in No - ",E735,)</f>
        <v>CT/PT Units, Lying at Central Store Bathinda. Quantity in No - 41</v>
      </c>
    </row>
    <row r="736" spans="1:8" ht="15" customHeight="1">
      <c r="A736" s="40"/>
      <c r="B736" s="85"/>
      <c r="C736" s="85"/>
      <c r="D736" s="42"/>
      <c r="E736" s="263"/>
      <c r="F736" s="98"/>
      <c r="H736" s="99"/>
    </row>
    <row r="737" spans="1:8" ht="15" customHeight="1">
      <c r="A737" s="41" t="s">
        <v>5</v>
      </c>
      <c r="B737" s="321" t="s">
        <v>17</v>
      </c>
      <c r="C737" s="321"/>
      <c r="D737" s="290" t="s">
        <v>18</v>
      </c>
      <c r="E737" s="40" t="s">
        <v>76</v>
      </c>
      <c r="F737" s="98"/>
      <c r="H737" s="99"/>
    </row>
    <row r="738" spans="1:8" ht="15" customHeight="1">
      <c r="A738" s="41" t="s">
        <v>296</v>
      </c>
      <c r="B738" s="356" t="s">
        <v>159</v>
      </c>
      <c r="C738" s="356"/>
      <c r="D738" s="41" t="s">
        <v>397</v>
      </c>
      <c r="E738" s="262">
        <v>43</v>
      </c>
      <c r="F738" s="98"/>
      <c r="H738" s="99" t="str">
        <f>CONCATENATE("U/S CT, Lying at ",B738,". Quantity in No - ",E738,)</f>
        <v>U/S CT, Lying at Central Store Patiala. Quantity in No - 43</v>
      </c>
    </row>
    <row r="739" spans="1:8" ht="15" customHeight="1">
      <c r="A739" s="40"/>
      <c r="B739" s="85"/>
      <c r="C739" s="85"/>
      <c r="D739" s="42"/>
      <c r="E739" s="263"/>
      <c r="F739" s="98"/>
      <c r="H739" s="99"/>
    </row>
    <row r="740" spans="1:8" ht="15" customHeight="1">
      <c r="A740" s="41" t="s">
        <v>5</v>
      </c>
      <c r="B740" s="321" t="s">
        <v>17</v>
      </c>
      <c r="C740" s="321"/>
      <c r="D740" s="290" t="s">
        <v>18</v>
      </c>
      <c r="E740" s="40" t="s">
        <v>76</v>
      </c>
      <c r="F740" s="98"/>
      <c r="H740" s="99"/>
    </row>
    <row r="741" spans="1:8" ht="15" customHeight="1">
      <c r="A741" s="41" t="s">
        <v>329</v>
      </c>
      <c r="B741" s="356" t="s">
        <v>108</v>
      </c>
      <c r="C741" s="356"/>
      <c r="D741" s="41" t="s">
        <v>281</v>
      </c>
      <c r="E741" s="262">
        <v>168</v>
      </c>
      <c r="F741" s="98"/>
      <c r="H741" s="99" t="str">
        <f>CONCATENATE("Empty steel drums (cap 209 ltrs), Lying at ",B741,". Quantity in No - ",E741,)</f>
        <v>Empty steel drums (cap 209 ltrs), Lying at Central Store Kotkapura. Quantity in No - 168</v>
      </c>
    </row>
    <row r="742" spans="1:8" ht="15" customHeight="1">
      <c r="A742" s="40"/>
      <c r="B742" s="85"/>
      <c r="C742" s="85"/>
      <c r="D742" s="42"/>
      <c r="E742" s="263"/>
      <c r="F742" s="98"/>
      <c r="H742" s="99"/>
    </row>
    <row r="743" spans="1:8" ht="15" customHeight="1">
      <c r="A743" s="41" t="s">
        <v>5</v>
      </c>
      <c r="B743" s="321" t="s">
        <v>17</v>
      </c>
      <c r="C743" s="321"/>
      <c r="D743" s="290" t="s">
        <v>18</v>
      </c>
      <c r="E743" s="40" t="s">
        <v>76</v>
      </c>
      <c r="F743" s="98"/>
      <c r="H743" s="99"/>
    </row>
    <row r="744" spans="1:8" ht="15" customHeight="1">
      <c r="A744" s="41" t="s">
        <v>341</v>
      </c>
      <c r="B744" s="356" t="s">
        <v>328</v>
      </c>
      <c r="C744" s="356"/>
      <c r="D744" s="41" t="s">
        <v>281</v>
      </c>
      <c r="E744" s="262">
        <v>53</v>
      </c>
      <c r="F744" s="98"/>
      <c r="H744" s="99" t="str">
        <f>CONCATENATE("Empty steel drums (cap 209 ltrs), Lying at ",B744,". Quantity in No - ",E744,)</f>
        <v>Empty steel drums (cap 209 ltrs), Lying at Central Store Malout. Quantity in No - 53</v>
      </c>
    </row>
    <row r="745" spans="1:8" ht="15" customHeight="1">
      <c r="A745" s="40"/>
      <c r="B745" s="85"/>
      <c r="C745" s="85"/>
      <c r="D745" s="289"/>
      <c r="E745" s="269"/>
      <c r="F745" s="98"/>
      <c r="H745" s="99"/>
    </row>
    <row r="746" spans="1:8" ht="15" customHeight="1">
      <c r="A746" s="41" t="s">
        <v>5</v>
      </c>
      <c r="B746" s="321" t="s">
        <v>17</v>
      </c>
      <c r="C746" s="321"/>
      <c r="D746" s="290" t="s">
        <v>18</v>
      </c>
      <c r="E746" s="40" t="s">
        <v>76</v>
      </c>
      <c r="F746" s="98"/>
      <c r="H746" s="99"/>
    </row>
    <row r="747" spans="1:8" ht="15" customHeight="1">
      <c r="A747" s="41" t="s">
        <v>398</v>
      </c>
      <c r="B747" s="356" t="s">
        <v>185</v>
      </c>
      <c r="C747" s="356"/>
      <c r="D747" s="41" t="s">
        <v>281</v>
      </c>
      <c r="E747" s="262">
        <v>13</v>
      </c>
      <c r="F747" s="98"/>
      <c r="H747" s="99" t="str">
        <f>CONCATENATE("Empty steel drums (cap 209 ltrs), Lying at ",B747,". Quantity in No - ",E747,)</f>
        <v>Empty steel drums (cap 209 ltrs), Lying at Outlet store Ropar. Quantity in No - 13</v>
      </c>
    </row>
    <row r="748" spans="1:8" ht="15" customHeight="1">
      <c r="A748" s="40"/>
      <c r="B748" s="85"/>
      <c r="C748" s="85"/>
      <c r="D748" s="289"/>
      <c r="E748" s="269"/>
      <c r="F748" s="98"/>
      <c r="H748" s="100"/>
    </row>
    <row r="749" spans="1:8" ht="15" customHeight="1">
      <c r="A749" s="347" t="s">
        <v>16</v>
      </c>
      <c r="B749" s="348"/>
      <c r="C749" s="348"/>
      <c r="D749" s="348"/>
      <c r="E749" s="348"/>
      <c r="F749" s="98"/>
      <c r="H749" s="108"/>
    </row>
    <row r="750" spans="1:8" ht="15" customHeight="1">
      <c r="A750" s="21"/>
      <c r="B750" s="22"/>
      <c r="C750" s="22"/>
      <c r="D750" s="22"/>
      <c r="E750" s="22"/>
      <c r="F750" s="98"/>
      <c r="H750" s="108"/>
    </row>
    <row r="751" spans="1:8" ht="15" customHeight="1">
      <c r="A751" s="377" t="s">
        <v>15</v>
      </c>
      <c r="B751" s="378"/>
      <c r="C751" s="378"/>
      <c r="D751" s="378"/>
      <c r="E751" s="378"/>
      <c r="F751" s="98"/>
      <c r="H751" s="108"/>
    </row>
    <row r="752" spans="1:8" ht="15" customHeight="1">
      <c r="A752" s="299"/>
      <c r="B752" s="300"/>
      <c r="C752" s="300"/>
      <c r="D752" s="300"/>
      <c r="E752" s="300"/>
      <c r="F752" s="98"/>
      <c r="H752" s="108"/>
    </row>
    <row r="753" spans="1:8" ht="15" customHeight="1">
      <c r="A753" s="409" t="s">
        <v>49</v>
      </c>
      <c r="B753" s="410"/>
      <c r="C753" s="410"/>
      <c r="D753" s="410"/>
      <c r="E753" s="410"/>
      <c r="F753" s="98"/>
      <c r="H753" s="108"/>
    </row>
    <row r="754" spans="1:11" ht="38.25" customHeight="1">
      <c r="A754" s="15" t="s">
        <v>5</v>
      </c>
      <c r="B754" s="15" t="s">
        <v>1</v>
      </c>
      <c r="C754" s="15" t="s">
        <v>2</v>
      </c>
      <c r="D754" s="15" t="s">
        <v>3</v>
      </c>
      <c r="E754" s="270" t="s">
        <v>4</v>
      </c>
      <c r="F754" s="98"/>
      <c r="G754" s="115"/>
      <c r="H754" s="114"/>
      <c r="I754" s="102"/>
      <c r="J754" s="102"/>
      <c r="K754" s="103"/>
    </row>
    <row r="755" spans="1:8" ht="25.5" customHeight="1">
      <c r="A755" s="12" t="s">
        <v>109</v>
      </c>
      <c r="B755" s="12" t="s">
        <v>88</v>
      </c>
      <c r="C755" s="12" t="s">
        <v>105</v>
      </c>
      <c r="D755" s="12" t="s">
        <v>89</v>
      </c>
      <c r="E755" s="25" t="s">
        <v>256</v>
      </c>
      <c r="F755" s="98"/>
      <c r="G755" s="100"/>
      <c r="H755" s="111" t="str">
        <f>CONCATENATE("Condemned/obsolete Vehicles  (Without RC )--- ",B755," ",C755," ",E755," ",)</f>
        <v>Condemned/obsolete Vehicles  (Without RC )--- PB-11 AH-0925 HONDA CIVIC CAR (PETROL) 2008 …. CE/ TA &amp; I PSPCL PATIALA 96461-19587 </v>
      </c>
    </row>
    <row r="756" spans="1:8" ht="25.5" customHeight="1">
      <c r="A756" s="12" t="s">
        <v>151</v>
      </c>
      <c r="B756" s="24" t="s">
        <v>148</v>
      </c>
      <c r="C756" s="24" t="s">
        <v>149</v>
      </c>
      <c r="D756" s="24" t="s">
        <v>150</v>
      </c>
      <c r="E756" s="89" t="s">
        <v>257</v>
      </c>
      <c r="F756" s="98"/>
      <c r="G756" s="100"/>
      <c r="H756" s="111" t="str">
        <f>CONCATENATE("Condemned/obsolete Vehicles  (Without RC )--- ",B756," ",C756," ",E756," ",)</f>
        <v>Condemned/obsolete Vehicles  (Without RC )--- PB-05 F-9520 MINI TRUCK EICHER DIESEL (1999) ….. DS S/D MAMDOT PSPCL FEROZEPUR MOB 9646114589 </v>
      </c>
    </row>
    <row r="757" spans="1:8" ht="25.5" customHeight="1">
      <c r="A757" s="12" t="s">
        <v>154</v>
      </c>
      <c r="B757" s="24" t="s">
        <v>155</v>
      </c>
      <c r="C757" s="24" t="s">
        <v>156</v>
      </c>
      <c r="D757" s="24" t="s">
        <v>157</v>
      </c>
      <c r="E757" s="89" t="s">
        <v>258</v>
      </c>
      <c r="F757" s="98"/>
      <c r="G757" s="100"/>
      <c r="H757" s="111" t="str">
        <f>CONCATENATE("Condemned/obsolete Vehicles  (Without RC )--- ",B757," ",C757," ",E757," ",)</f>
        <v>Condemned/obsolete Vehicles  (Without RC )--- PB-03 N-5547 AMBASSADOR CAR DIESEL (2005) ….. DS DIVISION BADAL 96461-14534 </v>
      </c>
    </row>
    <row r="758" spans="1:8" ht="15" customHeight="1">
      <c r="A758" s="19"/>
      <c r="B758" s="23"/>
      <c r="C758" s="23"/>
      <c r="D758" s="19"/>
      <c r="E758" s="271"/>
      <c r="F758" s="98"/>
      <c r="H758" s="108"/>
    </row>
    <row r="759" spans="1:8" ht="15" customHeight="1">
      <c r="A759" s="365" t="s">
        <v>50</v>
      </c>
      <c r="B759" s="366"/>
      <c r="C759" s="366"/>
      <c r="D759" s="366"/>
      <c r="E759" s="366"/>
      <c r="F759" s="98"/>
      <c r="H759" s="108"/>
    </row>
    <row r="760" spans="1:8" ht="15" customHeight="1">
      <c r="A760" s="407" t="s">
        <v>106</v>
      </c>
      <c r="B760" s="408"/>
      <c r="C760" s="408"/>
      <c r="D760" s="408"/>
      <c r="E760" s="408"/>
      <c r="F760" s="98"/>
      <c r="H760" s="108"/>
    </row>
    <row r="761" spans="1:8" ht="15" customHeight="1">
      <c r="A761" s="7"/>
      <c r="B761" s="8"/>
      <c r="C761" s="8"/>
      <c r="D761" s="8"/>
      <c r="E761" s="8"/>
      <c r="F761" s="276"/>
      <c r="G761" s="136"/>
      <c r="H761" s="108"/>
    </row>
    <row r="762" spans="1:8" ht="15" customHeight="1">
      <c r="A762" s="347" t="s">
        <v>25</v>
      </c>
      <c r="B762" s="348"/>
      <c r="C762" s="348"/>
      <c r="D762" s="348"/>
      <c r="E762" s="348"/>
      <c r="F762" s="98"/>
      <c r="H762" s="108"/>
    </row>
    <row r="763" spans="1:8" ht="15" customHeight="1">
      <c r="A763" s="62"/>
      <c r="B763" s="62"/>
      <c r="C763" s="63"/>
      <c r="D763" s="63"/>
      <c r="E763" s="64">
        <f>SUM(E765:E768)</f>
        <v>4.129</v>
      </c>
      <c r="F763" s="276"/>
      <c r="H763" s="108"/>
    </row>
    <row r="764" spans="1:18" ht="15" customHeight="1">
      <c r="A764" s="322" t="s">
        <v>5</v>
      </c>
      <c r="B764" s="323"/>
      <c r="C764" s="65" t="s">
        <v>17</v>
      </c>
      <c r="D764" s="66" t="s">
        <v>18</v>
      </c>
      <c r="E764" s="69" t="s">
        <v>7</v>
      </c>
      <c r="F764" s="98"/>
      <c r="G764" s="273" t="str">
        <f>CONCATENATE("Misc. Healthy parts/ Non Ferrous  Scrap, Lying at ",C765,". Quantity in MT - ")</f>
        <v>Misc. Healthy parts/ Non Ferrous  Scrap, Lying at TRY Bathinda. Quantity in MT - </v>
      </c>
      <c r="H764" s="319" t="str">
        <f ca="1">CONCATENATE(G764,G765,(INDIRECT(I765)),(INDIRECT(J765)),(INDIRECT(K765)),(INDIRECT(L765)),(INDIRECT(M765)),(INDIRECT(N765)),(INDIRECT(O765)),(INDIRECT(P765)),(INDIRECT(Q765)),(INDIRECT(R765)),".")</f>
        <v>Misc. Healthy parts/ Non Ferrous  Scrap, Lying at TRY Bathinda. Quantity in MT - Brass scrap - 2.683, Misc. Aluminium scrap - 0.893, Burnt Cu scrap - 0.203, Nuts &amp; Bolts scrap - 0.35, .</v>
      </c>
      <c r="I764" s="106" t="str">
        <f aca="true" ca="1" t="array" ref="I764">CELL("address",INDEX(G764:G786,MATCH(TRUE,ISBLANK(G764:G786),0)))</f>
        <v>$G$769</v>
      </c>
      <c r="J764" s="106">
        <f aca="true" t="array" ref="J764">MATCH(TRUE,ISBLANK(G764:G786),0)</f>
        <v>6</v>
      </c>
      <c r="K764" s="106">
        <f>J764-3</f>
        <v>3</v>
      </c>
      <c r="L764" s="106"/>
      <c r="M764" s="106"/>
      <c r="N764" s="106"/>
      <c r="O764" s="106"/>
      <c r="P764" s="106"/>
      <c r="Q764" s="106"/>
      <c r="R764" s="106"/>
    </row>
    <row r="765" spans="1:18" ht="15" customHeight="1">
      <c r="A765" s="320" t="s">
        <v>34</v>
      </c>
      <c r="B765" s="320"/>
      <c r="C765" s="321" t="s">
        <v>36</v>
      </c>
      <c r="D765" s="41" t="s">
        <v>23</v>
      </c>
      <c r="E765" s="70">
        <v>2.683</v>
      </c>
      <c r="F765" s="98"/>
      <c r="G765" s="113" t="str">
        <f>CONCATENATE(D765," - ",E765,", ")</f>
        <v>Brass scrap - 2.683, </v>
      </c>
      <c r="H765" s="319"/>
      <c r="I765" s="106" t="str">
        <f ca="1">IF(J764&gt;=3,(MID(I764,2,1)&amp;MID(I764,4,4)-K764),CELL("address",Z765))</f>
        <v>G766</v>
      </c>
      <c r="J765" s="106" t="str">
        <f ca="1">IF(J764&gt;=4,(MID(I765,1,1)&amp;MID(I765,2,4)+1),CELL("address",AA765))</f>
        <v>G767</v>
      </c>
      <c r="K765" s="106" t="str">
        <f ca="1">IF(J764&gt;=5,(MID(J765,1,1)&amp;MID(J765,2,4)+1),CELL("address",AB765))</f>
        <v>G768</v>
      </c>
      <c r="L765" s="106" t="str">
        <f ca="1">IF(J764&gt;=6,(MID(K765,1,1)&amp;MID(K765,2,4)+1),CELL("address",AC765))</f>
        <v>G769</v>
      </c>
      <c r="M765" s="106" t="str">
        <f ca="1">IF(J764&gt;=7,(MID(L765,1,1)&amp;MID(L765,2,4)+1),CELL("address",AD765))</f>
        <v>$AD$765</v>
      </c>
      <c r="N765" s="106" t="str">
        <f ca="1">IF(J764&gt;=8,(MID(M765,1,1)&amp;MID(M765,2,4)+1),CELL("address",AE765))</f>
        <v>$AE$765</v>
      </c>
      <c r="O765" s="106" t="str">
        <f ca="1">IF(J764&gt;=9,(MID(N765,1,1)&amp;MID(N765,2,4)+1),CELL("address",AF765))</f>
        <v>$AF$765</v>
      </c>
      <c r="P765" s="106" t="str">
        <f ca="1">IF(J764&gt;=10,(MID(O765,1,1)&amp;MID(O765,2,4)+1),CELL("address",AG765))</f>
        <v>$AG$765</v>
      </c>
      <c r="Q765" s="106" t="str">
        <f ca="1">IF(J764&gt;=11,(MID(P765,1,1)&amp;MID(P765,2,4)+1),CELL("address",AH765))</f>
        <v>$AH$765</v>
      </c>
      <c r="R765" s="106" t="str">
        <f ca="1">IF(J764&gt;=12,(MID(Q765,1,1)&amp;MID(Q765,2,4)+1),CELL("address",AI765))</f>
        <v>$AI$765</v>
      </c>
    </row>
    <row r="766" spans="1:8" ht="15" customHeight="1">
      <c r="A766" s="320"/>
      <c r="B766" s="320"/>
      <c r="C766" s="321"/>
      <c r="D766" s="41" t="s">
        <v>24</v>
      </c>
      <c r="E766" s="70">
        <v>0.893</v>
      </c>
      <c r="F766" s="98"/>
      <c r="G766" s="113" t="str">
        <f>CONCATENATE(D766," - ",E766,", ")</f>
        <v>Misc. Aluminium scrap - 0.893, </v>
      </c>
      <c r="H766" s="110"/>
    </row>
    <row r="767" spans="1:8" ht="15" customHeight="1">
      <c r="A767" s="320"/>
      <c r="B767" s="320"/>
      <c r="C767" s="321"/>
      <c r="D767" s="41" t="s">
        <v>37</v>
      </c>
      <c r="E767" s="70">
        <v>0.203</v>
      </c>
      <c r="F767" s="98"/>
      <c r="G767" s="113" t="str">
        <f>CONCATENATE(D767," - ",E767,", ")</f>
        <v>Burnt Cu scrap - 0.203, </v>
      </c>
      <c r="H767" s="110"/>
    </row>
    <row r="768" spans="1:23" ht="15" customHeight="1">
      <c r="A768" s="320"/>
      <c r="B768" s="320"/>
      <c r="C768" s="321"/>
      <c r="D768" s="41" t="s">
        <v>58</v>
      </c>
      <c r="E768" s="70">
        <v>0.35</v>
      </c>
      <c r="F768" s="98"/>
      <c r="G768" s="113" t="str">
        <f>CONCATENATE(D768," - ",E768,", ")</f>
        <v>Nuts &amp; Bolts scrap - 0.35, </v>
      </c>
      <c r="H768" s="110"/>
      <c r="T768" s="357"/>
      <c r="U768" s="357"/>
      <c r="V768" s="357"/>
      <c r="W768" s="357"/>
    </row>
    <row r="769" spans="1:8" ht="15" customHeight="1">
      <c r="A769" s="322"/>
      <c r="B769" s="323"/>
      <c r="C769" s="290"/>
      <c r="D769" s="41"/>
      <c r="E769" s="70"/>
      <c r="F769" s="98"/>
      <c r="G769" s="113"/>
      <c r="H769" s="110"/>
    </row>
    <row r="770" spans="1:8" ht="17.25" customHeight="1">
      <c r="A770" s="332"/>
      <c r="B770" s="333"/>
      <c r="C770" s="67"/>
      <c r="D770" s="67"/>
      <c r="E770" s="134">
        <f>SUM(E772:E777)</f>
        <v>11.541</v>
      </c>
      <c r="F770" s="98"/>
      <c r="G770" s="113"/>
      <c r="H770" s="110"/>
    </row>
    <row r="771" spans="1:18" ht="17.25" customHeight="1">
      <c r="A771" s="350" t="s">
        <v>5</v>
      </c>
      <c r="B771" s="351"/>
      <c r="C771" s="65" t="s">
        <v>17</v>
      </c>
      <c r="D771" s="66" t="s">
        <v>18</v>
      </c>
      <c r="E771" s="69" t="s">
        <v>7</v>
      </c>
      <c r="F771" s="98"/>
      <c r="G771" s="273" t="str">
        <f>CONCATENATE("Misc. Healthy parts/ Non Ferrous  Scrap, Lying at ",C772,". Quantity in MT - ")</f>
        <v>Misc. Healthy parts/ Non Ferrous  Scrap, Lying at TRY Ferozepur. Quantity in MT - </v>
      </c>
      <c r="H771" s="355" t="str">
        <f ca="1">CONCATENATE(G771,G772,(INDIRECT(I772)),(INDIRECT(J772)),(INDIRECT(K772)),(INDIRECT(L772)),(INDIRECT(M772)),(INDIRECT(N772)),(INDIRECT(O772)),(INDIRECT(P772)),(INDIRECT(Q772)),(INDIRECT(R772)),".")</f>
        <v>Misc. Healthy parts/ Non Ferrous  Scrap, Lying at TRY Ferozepur. Quantity in MT - Brass scrap - 5.187, Misc. Aluminium scrap - 0.926, Iron scrap - 0.651, Burnt Cu scrap - 0.235, Nuts &amp; Bolts scrap - 4.092, Teen Patra scrap - 0.45, .</v>
      </c>
      <c r="I771" s="106" t="str">
        <f aca="true" ca="1" t="array" ref="I771">CELL("address",INDEX(G771:G793,MATCH(TRUE,ISBLANK(G771:G793),0)))</f>
        <v>$G$778</v>
      </c>
      <c r="J771" s="106">
        <f aca="true" t="array" ref="J771">MATCH(TRUE,ISBLANK(G771:G793),0)</f>
        <v>8</v>
      </c>
      <c r="K771" s="106">
        <f>J771-3</f>
        <v>5</v>
      </c>
      <c r="L771" s="106"/>
      <c r="M771" s="106"/>
      <c r="N771" s="106"/>
      <c r="O771" s="106"/>
      <c r="P771" s="106"/>
      <c r="Q771" s="106"/>
      <c r="R771" s="106"/>
    </row>
    <row r="772" spans="1:18" ht="17.25" customHeight="1">
      <c r="A772" s="320" t="s">
        <v>110</v>
      </c>
      <c r="B772" s="320"/>
      <c r="C772" s="321" t="s">
        <v>42</v>
      </c>
      <c r="D772" s="41" t="s">
        <v>23</v>
      </c>
      <c r="E772" s="70">
        <v>5.187</v>
      </c>
      <c r="F772" s="98"/>
      <c r="G772" s="113" t="str">
        <f aca="true" t="shared" si="5" ref="G772:G777">CONCATENATE(D772," - ",E772,", ")</f>
        <v>Brass scrap - 5.187, </v>
      </c>
      <c r="H772" s="355"/>
      <c r="I772" s="106" t="str">
        <f ca="1">IF(J771&gt;=3,(MID(I771,2,1)&amp;MID(I771,4,4)-K771),CELL("address",Z772))</f>
        <v>G773</v>
      </c>
      <c r="J772" s="106" t="str">
        <f ca="1">IF(J771&gt;=4,(MID(I772,1,1)&amp;MID(I772,2,4)+1),CELL("address",AA772))</f>
        <v>G774</v>
      </c>
      <c r="K772" s="106" t="str">
        <f ca="1">IF(J771&gt;=5,(MID(J772,1,1)&amp;MID(J772,2,4)+1),CELL("address",AB772))</f>
        <v>G775</v>
      </c>
      <c r="L772" s="106" t="str">
        <f ca="1">IF(J771&gt;=6,(MID(K772,1,1)&amp;MID(K772,2,4)+1),CELL("address",AC772))</f>
        <v>G776</v>
      </c>
      <c r="M772" s="106" t="str">
        <f ca="1">IF(J771&gt;=7,(MID(L772,1,1)&amp;MID(L772,2,4)+1),CELL("address",AD772))</f>
        <v>G777</v>
      </c>
      <c r="N772" s="106" t="str">
        <f ca="1">IF(J771&gt;=8,(MID(M772,1,1)&amp;MID(M772,2,4)+1),CELL("address",AE772))</f>
        <v>G778</v>
      </c>
      <c r="O772" s="106" t="str">
        <f ca="1">IF(J771&gt;=9,(MID(N772,1,1)&amp;MID(N772,2,4)+1),CELL("address",AF772))</f>
        <v>$AF$772</v>
      </c>
      <c r="P772" s="106" t="str">
        <f ca="1">IF(J771&gt;=10,(MID(O772,1,1)&amp;MID(O772,2,4)+1),CELL("address",AG772))</f>
        <v>$AG$772</v>
      </c>
      <c r="Q772" s="106" t="str">
        <f ca="1">IF(J771&gt;=11,(MID(P772,1,1)&amp;MID(P772,2,4)+1),CELL("address",AH772))</f>
        <v>$AH$772</v>
      </c>
      <c r="R772" s="106" t="str">
        <f ca="1">IF(J771&gt;=12,(MID(Q772,1,1)&amp;MID(Q772,2,4)+1),CELL("address",AI772))</f>
        <v>$AI$772</v>
      </c>
    </row>
    <row r="773" spans="1:8" ht="17.25" customHeight="1">
      <c r="A773" s="320"/>
      <c r="B773" s="320"/>
      <c r="C773" s="321"/>
      <c r="D773" s="41" t="s">
        <v>24</v>
      </c>
      <c r="E773" s="70">
        <v>0.926</v>
      </c>
      <c r="F773" s="98"/>
      <c r="G773" s="113" t="str">
        <f t="shared" si="5"/>
        <v>Misc. Aluminium scrap - 0.926, </v>
      </c>
      <c r="H773" s="110"/>
    </row>
    <row r="774" spans="1:8" ht="17.25" customHeight="1">
      <c r="A774" s="320"/>
      <c r="B774" s="320"/>
      <c r="C774" s="321"/>
      <c r="D774" s="41" t="s">
        <v>27</v>
      </c>
      <c r="E774" s="69">
        <v>0.651</v>
      </c>
      <c r="F774" s="98"/>
      <c r="G774" s="113" t="str">
        <f t="shared" si="5"/>
        <v>Iron scrap - 0.651, </v>
      </c>
      <c r="H774" s="110"/>
    </row>
    <row r="775" spans="1:8" ht="17.25" customHeight="1">
      <c r="A775" s="320"/>
      <c r="B775" s="320"/>
      <c r="C775" s="321"/>
      <c r="D775" s="41" t="s">
        <v>37</v>
      </c>
      <c r="E775" s="69">
        <v>0.235</v>
      </c>
      <c r="F775" s="98"/>
      <c r="G775" s="113" t="str">
        <f t="shared" si="5"/>
        <v>Burnt Cu scrap - 0.235, </v>
      </c>
      <c r="H775" s="110"/>
    </row>
    <row r="776" spans="1:8" ht="15" customHeight="1">
      <c r="A776" s="320"/>
      <c r="B776" s="320"/>
      <c r="C776" s="321"/>
      <c r="D776" s="41" t="s">
        <v>58</v>
      </c>
      <c r="E776" s="69">
        <v>4.092</v>
      </c>
      <c r="F776" s="98"/>
      <c r="G776" s="113" t="str">
        <f t="shared" si="5"/>
        <v>Nuts &amp; Bolts scrap - 4.092, </v>
      </c>
      <c r="H776" s="110"/>
    </row>
    <row r="777" spans="1:8" ht="15" customHeight="1">
      <c r="A777" s="320"/>
      <c r="B777" s="320"/>
      <c r="C777" s="321"/>
      <c r="D777" s="41" t="s">
        <v>64</v>
      </c>
      <c r="E777" s="272">
        <v>0.45</v>
      </c>
      <c r="F777" s="98"/>
      <c r="G777" s="113" t="str">
        <f t="shared" si="5"/>
        <v>Teen Patra scrap - 0.45, </v>
      </c>
      <c r="H777" s="110"/>
    </row>
    <row r="778" spans="1:8" ht="15" customHeight="1">
      <c r="A778" s="40"/>
      <c r="B778" s="43"/>
      <c r="C778" s="290"/>
      <c r="D778" s="41"/>
      <c r="E778" s="272"/>
      <c r="F778" s="98"/>
      <c r="G778" s="113"/>
      <c r="H778" s="110"/>
    </row>
    <row r="779" spans="1:8" ht="15" customHeight="1">
      <c r="A779" s="332"/>
      <c r="B779" s="333"/>
      <c r="C779" s="67"/>
      <c r="D779" s="67"/>
      <c r="E779" s="134">
        <f>SUM(E781:E785)</f>
        <v>3.672</v>
      </c>
      <c r="F779" s="98"/>
      <c r="G779" s="113"/>
      <c r="H779" s="110"/>
    </row>
    <row r="780" spans="1:18" ht="15" customHeight="1">
      <c r="A780" s="320" t="s">
        <v>5</v>
      </c>
      <c r="B780" s="320"/>
      <c r="C780" s="65" t="s">
        <v>17</v>
      </c>
      <c r="D780" s="66" t="s">
        <v>18</v>
      </c>
      <c r="E780" s="69" t="s">
        <v>7</v>
      </c>
      <c r="F780" s="98"/>
      <c r="G780" s="273" t="str">
        <f>CONCATENATE("Misc. Healthy parts/ Non Ferrous  Scrap, Lying at ",C781,". Quantity in MT - ")</f>
        <v>Misc. Healthy parts/ Non Ferrous  Scrap, Lying at OL store Ropar. Quantity in MT - </v>
      </c>
      <c r="H780" s="355" t="str">
        <f ca="1">CONCATENATE(G780,G781,(INDIRECT(I781)),(INDIRECT(J781)),(INDIRECT(K781)),(INDIRECT(L781)),(INDIRECT(M781)),(INDIRECT(N781)),(INDIRECT(O781)),(INDIRECT(P781)),(INDIRECT(Q781)),(INDIRECT(R781)),".")</f>
        <v>Misc. Healthy parts/ Non Ferrous  Scrap, Lying at OL store Ropar. Quantity in MT - Brass scrap - 2.473, Misc. Aluminium scrap - 0.346, Burnt Cu scrap - 0.298, All Alumn. Conductor Scrap - 0.317, Misc. Copper scrap - 0.238, .</v>
      </c>
      <c r="I780" s="106" t="str">
        <f aca="true" ca="1" t="array" ref="I780">CELL("address",INDEX(G780:G802,MATCH(TRUE,ISBLANK(G780:G802),0)))</f>
        <v>$G$786</v>
      </c>
      <c r="J780" s="106">
        <f aca="true" t="array" ref="J780">MATCH(TRUE,ISBLANK(G780:G802),0)</f>
        <v>7</v>
      </c>
      <c r="K780" s="106">
        <f>J780-3</f>
        <v>4</v>
      </c>
      <c r="L780" s="106"/>
      <c r="M780" s="106"/>
      <c r="N780" s="106"/>
      <c r="O780" s="106"/>
      <c r="P780" s="106"/>
      <c r="Q780" s="106"/>
      <c r="R780" s="106"/>
    </row>
    <row r="781" spans="1:18" ht="15" customHeight="1">
      <c r="A781" s="350" t="s">
        <v>26</v>
      </c>
      <c r="B781" s="351"/>
      <c r="C781" s="344" t="s">
        <v>46</v>
      </c>
      <c r="D781" s="41" t="s">
        <v>23</v>
      </c>
      <c r="E781" s="70">
        <v>2.473</v>
      </c>
      <c r="F781" s="98"/>
      <c r="G781" s="113" t="str">
        <f>CONCATENATE(D781," - ",E781,", ")</f>
        <v>Brass scrap - 2.473, </v>
      </c>
      <c r="H781" s="355"/>
      <c r="I781" s="106" t="str">
        <f ca="1">IF(J780&gt;=3,(MID(I780,2,1)&amp;MID(I780,4,4)-K780),CELL("address",Z781))</f>
        <v>G782</v>
      </c>
      <c r="J781" s="106" t="str">
        <f ca="1">IF(J780&gt;=4,(MID(I781,1,1)&amp;MID(I781,2,4)+1),CELL("address",AA781))</f>
        <v>G783</v>
      </c>
      <c r="K781" s="106" t="str">
        <f ca="1">IF(J780&gt;=5,(MID(J781,1,1)&amp;MID(J781,2,4)+1),CELL("address",AB781))</f>
        <v>G784</v>
      </c>
      <c r="L781" s="106" t="str">
        <f ca="1">IF(J780&gt;=6,(MID(K781,1,1)&amp;MID(K781,2,4)+1),CELL("address",AC781))</f>
        <v>G785</v>
      </c>
      <c r="M781" s="106" t="str">
        <f ca="1">IF(J780&gt;=7,(MID(L781,1,1)&amp;MID(L781,2,4)+1),CELL("address",AD781))</f>
        <v>G786</v>
      </c>
      <c r="N781" s="106" t="str">
        <f ca="1">IF(J780&gt;=8,(MID(M781,1,1)&amp;MID(M781,2,4)+1),CELL("address",AE781))</f>
        <v>$AE$781</v>
      </c>
      <c r="O781" s="106" t="str">
        <f ca="1">IF(J780&gt;=9,(MID(N781,1,1)&amp;MID(N781,2,4)+1),CELL("address",AF781))</f>
        <v>$AF$781</v>
      </c>
      <c r="P781" s="106" t="str">
        <f ca="1">IF(J780&gt;=10,(MID(O781,1,1)&amp;MID(O781,2,4)+1),CELL("address",AG781))</f>
        <v>$AG$781</v>
      </c>
      <c r="Q781" s="106" t="str">
        <f ca="1">IF(J780&gt;=11,(MID(P781,1,1)&amp;MID(P781,2,4)+1),CELL("address",AH781))</f>
        <v>$AH$781</v>
      </c>
      <c r="R781" s="106" t="str">
        <f ca="1">IF(J780&gt;=12,(MID(Q781,1,1)&amp;MID(Q781,2,4)+1),CELL("address",AI781))</f>
        <v>$AI$781</v>
      </c>
    </row>
    <row r="782" spans="1:8" ht="15" customHeight="1">
      <c r="A782" s="371"/>
      <c r="B782" s="372"/>
      <c r="C782" s="345"/>
      <c r="D782" s="41" t="s">
        <v>24</v>
      </c>
      <c r="E782" s="70">
        <v>0.346</v>
      </c>
      <c r="F782" s="98"/>
      <c r="G782" s="113" t="str">
        <f>CONCATENATE(D782," - ",E782,", ")</f>
        <v>Misc. Aluminium scrap - 0.346, </v>
      </c>
      <c r="H782" s="110"/>
    </row>
    <row r="783" spans="1:8" ht="15" customHeight="1">
      <c r="A783" s="371"/>
      <c r="B783" s="372"/>
      <c r="C783" s="345"/>
      <c r="D783" s="40" t="s">
        <v>37</v>
      </c>
      <c r="E783" s="70">
        <v>0.298</v>
      </c>
      <c r="F783" s="98"/>
      <c r="G783" s="113" t="str">
        <f>CONCATENATE(D783," - ",E783,", ")</f>
        <v>Burnt Cu scrap - 0.298, </v>
      </c>
      <c r="H783" s="110"/>
    </row>
    <row r="784" spans="1:8" ht="15" customHeight="1">
      <c r="A784" s="371"/>
      <c r="B784" s="372"/>
      <c r="C784" s="345"/>
      <c r="D784" s="46" t="s">
        <v>32</v>
      </c>
      <c r="E784" s="70">
        <v>0.317</v>
      </c>
      <c r="F784" s="98"/>
      <c r="G784" s="113" t="str">
        <f>CONCATENATE(D784," - ",E784,", ")</f>
        <v>All Alumn. Conductor Scrap - 0.317, </v>
      </c>
      <c r="H784" s="110"/>
    </row>
    <row r="785" spans="1:8" ht="15" customHeight="1">
      <c r="A785" s="373"/>
      <c r="B785" s="374"/>
      <c r="C785" s="346"/>
      <c r="D785" s="41" t="s">
        <v>45</v>
      </c>
      <c r="E785" s="70">
        <v>0.238</v>
      </c>
      <c r="F785" s="98"/>
      <c r="G785" s="113" t="str">
        <f>CONCATENATE(D785," - ",E785,", ")</f>
        <v>Misc. Copper scrap - 0.238, </v>
      </c>
      <c r="H785" s="110"/>
    </row>
    <row r="786" spans="1:8" ht="15" customHeight="1">
      <c r="A786" s="51"/>
      <c r="B786" s="60"/>
      <c r="C786" s="297"/>
      <c r="D786" s="41"/>
      <c r="E786" s="70"/>
      <c r="F786" s="98"/>
      <c r="G786" s="113"/>
      <c r="H786" s="110"/>
    </row>
    <row r="787" spans="1:8" ht="15" customHeight="1">
      <c r="A787" s="332"/>
      <c r="B787" s="333"/>
      <c r="C787" s="67"/>
      <c r="D787" s="67"/>
      <c r="E787" s="134">
        <f>SUM(E789:E790)</f>
        <v>2.408</v>
      </c>
      <c r="F787" s="98"/>
      <c r="G787" s="113"/>
      <c r="H787" s="110"/>
    </row>
    <row r="788" spans="1:18" ht="15" customHeight="1">
      <c r="A788" s="320" t="s">
        <v>5</v>
      </c>
      <c r="B788" s="320"/>
      <c r="C788" s="65" t="s">
        <v>17</v>
      </c>
      <c r="D788" s="66" t="s">
        <v>18</v>
      </c>
      <c r="E788" s="69" t="s">
        <v>7</v>
      </c>
      <c r="F788" s="98"/>
      <c r="G788" s="273" t="str">
        <f>CONCATENATE("Misc. Healthy parts/ Non Ferrous  Scrap, Lying at ",C789,". Quantity in MT - ")</f>
        <v>Misc. Healthy parts/ Non Ferrous  Scrap, Lying at TRY Ferozepur. Quantity in MT - </v>
      </c>
      <c r="H788" s="355" t="str">
        <f ca="1">CONCATENATE(G788,G789,(INDIRECT(I789)),(INDIRECT(J789)),(INDIRECT(K789)),(INDIRECT(L789)),(INDIRECT(M789)),(INDIRECT(N789)),(INDIRECT(O789)),(INDIRECT(P789)),(INDIRECT(Q789)),(INDIRECT(R789)),".")</f>
        <v>Misc. Healthy parts/ Non Ferrous  Scrap, Lying at TRY Ferozepur. Quantity in MT - Brass scrap - 2.09, Misc. Alumn. Scrap - 0.318, .</v>
      </c>
      <c r="I788" s="106" t="str">
        <f aca="true" ca="1" t="array" ref="I788">CELL("address",INDEX(G788:G806,MATCH(TRUE,ISBLANK(G788:G806),0)))</f>
        <v>$G$791</v>
      </c>
      <c r="J788" s="106">
        <f aca="true" t="array" ref="J788">MATCH(TRUE,ISBLANK(G788:G806),0)</f>
        <v>4</v>
      </c>
      <c r="K788" s="106">
        <f>J788-3</f>
        <v>1</v>
      </c>
      <c r="L788" s="106"/>
      <c r="M788" s="106"/>
      <c r="N788" s="106"/>
      <c r="O788" s="106"/>
      <c r="P788" s="106"/>
      <c r="Q788" s="106"/>
      <c r="R788" s="106"/>
    </row>
    <row r="789" spans="1:18" ht="15" customHeight="1">
      <c r="A789" s="320" t="s">
        <v>38</v>
      </c>
      <c r="B789" s="320"/>
      <c r="C789" s="321" t="s">
        <v>42</v>
      </c>
      <c r="D789" s="46" t="s">
        <v>23</v>
      </c>
      <c r="E789" s="135">
        <v>2.09</v>
      </c>
      <c r="F789" s="98"/>
      <c r="G789" s="113" t="str">
        <f>CONCATENATE(D789," - ",E789,", ")</f>
        <v>Brass scrap - 2.09, </v>
      </c>
      <c r="H789" s="355"/>
      <c r="I789" s="106" t="str">
        <f ca="1">IF(J788&gt;=3,(MID(I788,2,1)&amp;MID(I788,4,4)-K788),CELL("address",Z789))</f>
        <v>G790</v>
      </c>
      <c r="J789" s="106" t="str">
        <f ca="1">IF(J788&gt;=4,(MID(I789,1,1)&amp;MID(I789,2,4)+1),CELL("address",AA789))</f>
        <v>G791</v>
      </c>
      <c r="K789" s="106" t="str">
        <f ca="1">IF(J788&gt;=5,(MID(J789,1,1)&amp;MID(J789,2,4)+1),CELL("address",AB789))</f>
        <v>$AB$789</v>
      </c>
      <c r="L789" s="106" t="str">
        <f ca="1">IF(J788&gt;=6,(MID(K789,1,1)&amp;MID(K789,2,4)+1),CELL("address",AC789))</f>
        <v>$AC$789</v>
      </c>
      <c r="M789" s="106" t="str">
        <f ca="1">IF(J788&gt;=7,(MID(L789,1,1)&amp;MID(L789,2,4)+1),CELL("address",AD789))</f>
        <v>$AD$789</v>
      </c>
      <c r="N789" s="106" t="str">
        <f ca="1">IF(J788&gt;=8,(MID(M789,1,1)&amp;MID(M789,2,4)+1),CELL("address",AE789))</f>
        <v>$AE$789</v>
      </c>
      <c r="O789" s="106" t="str">
        <f ca="1">IF(J788&gt;=9,(MID(N789,1,1)&amp;MID(N789,2,4)+1),CELL("address",AF789))</f>
        <v>$AF$789</v>
      </c>
      <c r="P789" s="106" t="str">
        <f ca="1">IF(J788&gt;=10,(MID(O789,1,1)&amp;MID(O789,2,4)+1),CELL("address",AG789))</f>
        <v>$AG$789</v>
      </c>
      <c r="Q789" s="106" t="str">
        <f ca="1">IF(J788&gt;=11,(MID(P789,1,1)&amp;MID(P789,2,4)+1),CELL("address",AH789))</f>
        <v>$AH$789</v>
      </c>
      <c r="R789" s="106" t="str">
        <f ca="1">IF(J788&gt;=12,(MID(Q789,1,1)&amp;MID(Q789,2,4)+1),CELL("address",AI789))</f>
        <v>$AI$789</v>
      </c>
    </row>
    <row r="790" spans="1:8" ht="15" customHeight="1">
      <c r="A790" s="320"/>
      <c r="B790" s="320"/>
      <c r="C790" s="321"/>
      <c r="D790" s="46" t="s">
        <v>31</v>
      </c>
      <c r="E790" s="135">
        <v>0.318</v>
      </c>
      <c r="F790" s="98"/>
      <c r="G790" s="113" t="str">
        <f>CONCATENATE(D790," - ",E790,", ")</f>
        <v>Misc. Alumn. Scrap - 0.318, </v>
      </c>
      <c r="H790" s="110"/>
    </row>
    <row r="791" spans="1:8" ht="15" customHeight="1">
      <c r="A791" s="322"/>
      <c r="B791" s="323"/>
      <c r="C791" s="290"/>
      <c r="D791" s="46"/>
      <c r="E791" s="135"/>
      <c r="F791" s="98"/>
      <c r="G791" s="113"/>
      <c r="H791" s="110"/>
    </row>
    <row r="792" spans="1:8" ht="15" customHeight="1">
      <c r="A792" s="332"/>
      <c r="B792" s="333"/>
      <c r="C792" s="67"/>
      <c r="D792" s="67"/>
      <c r="E792" s="134">
        <f>SUM(E794:E797)</f>
        <v>4.728999999999999</v>
      </c>
      <c r="F792" s="98"/>
      <c r="G792" s="113"/>
      <c r="H792" s="110"/>
    </row>
    <row r="793" spans="1:18" ht="15" customHeight="1">
      <c r="A793" s="322" t="s">
        <v>5</v>
      </c>
      <c r="B793" s="323"/>
      <c r="C793" s="65" t="s">
        <v>17</v>
      </c>
      <c r="D793" s="66" t="s">
        <v>18</v>
      </c>
      <c r="E793" s="69" t="s">
        <v>7</v>
      </c>
      <c r="F793" s="98"/>
      <c r="G793" s="273" t="str">
        <f>CONCATENATE("Misc. Healthy parts/ Non Ferrous  Scrap, Lying at ",C794,". Quantity in MT - ")</f>
        <v>Misc. Healthy parts/ Non Ferrous  Scrap, Lying at TRY Malerkotla. Quantity in MT - </v>
      </c>
      <c r="H793" s="355" t="str">
        <f ca="1">CONCATENATE(G793,G794,(INDIRECT(I794)),(INDIRECT(J794)),(INDIRECT(K794)),(INDIRECT(L794)),(INDIRECT(M794)),(INDIRECT(N794)),(INDIRECT(O794)),(INDIRECT(P794)),(INDIRECT(Q794)),(INDIRECT(R794)),".")</f>
        <v>Misc. Healthy parts/ Non Ferrous  Scrap, Lying at TRY Malerkotla. Quantity in MT - Brass scrap - 4.114, Misc. Aluminium scrap - 0.183, Burnt Aluminium scrap - 0.287, Burnt Cu scrap - 0.145, .</v>
      </c>
      <c r="I793" s="106" t="str">
        <f aca="true" ca="1" t="array" ref="I793">CELL("address",INDEX(G793:G811,MATCH(TRUE,ISBLANK(G793:G811),0)))</f>
        <v>$G$798</v>
      </c>
      <c r="J793" s="106">
        <f aca="true" t="array" ref="J793">MATCH(TRUE,ISBLANK(G793:G811),0)</f>
        <v>6</v>
      </c>
      <c r="K793" s="106">
        <f>J793-3</f>
        <v>3</v>
      </c>
      <c r="L793" s="106"/>
      <c r="M793" s="106"/>
      <c r="N793" s="106"/>
      <c r="O793" s="106"/>
      <c r="P793" s="106"/>
      <c r="Q793" s="106"/>
      <c r="R793" s="106"/>
    </row>
    <row r="794" spans="1:18" ht="15" customHeight="1">
      <c r="A794" s="320" t="s">
        <v>48</v>
      </c>
      <c r="B794" s="320"/>
      <c r="C794" s="321" t="s">
        <v>28</v>
      </c>
      <c r="D794" s="41" t="s">
        <v>23</v>
      </c>
      <c r="E794" s="70">
        <v>4.114</v>
      </c>
      <c r="F794" s="98"/>
      <c r="G794" s="113" t="str">
        <f>CONCATENATE(D794," - ",E794,", ")</f>
        <v>Brass scrap - 4.114, </v>
      </c>
      <c r="H794" s="355"/>
      <c r="I794" s="106" t="str">
        <f ca="1">IF(J793&gt;=3,(MID(I793,2,1)&amp;MID(I793,4,4)-K793),CELL("address",Z794))</f>
        <v>G795</v>
      </c>
      <c r="J794" s="106" t="str">
        <f ca="1">IF(J793&gt;=4,(MID(I794,1,1)&amp;MID(I794,2,4)+1),CELL("address",AA794))</f>
        <v>G796</v>
      </c>
      <c r="K794" s="106" t="str">
        <f ca="1">IF(J793&gt;=5,(MID(J794,1,1)&amp;MID(J794,2,4)+1),CELL("address",AB794))</f>
        <v>G797</v>
      </c>
      <c r="L794" s="106" t="str">
        <f ca="1">IF(J793&gt;=6,(MID(K794,1,1)&amp;MID(K794,2,4)+1),CELL("address",AC794))</f>
        <v>G798</v>
      </c>
      <c r="M794" s="106" t="str">
        <f ca="1">IF(J793&gt;=7,(MID(L794,1,1)&amp;MID(L794,2,4)+1),CELL("address",AD794))</f>
        <v>$AD$794</v>
      </c>
      <c r="N794" s="106" t="str">
        <f ca="1">IF(J793&gt;=8,(MID(M794,1,1)&amp;MID(M794,2,4)+1),CELL("address",AE794))</f>
        <v>$AE$794</v>
      </c>
      <c r="O794" s="106" t="str">
        <f ca="1">IF(J793&gt;=9,(MID(N794,1,1)&amp;MID(N794,2,4)+1),CELL("address",AF794))</f>
        <v>$AF$794</v>
      </c>
      <c r="P794" s="106" t="str">
        <f ca="1">IF(J793&gt;=10,(MID(O794,1,1)&amp;MID(O794,2,4)+1),CELL("address",AG794))</f>
        <v>$AG$794</v>
      </c>
      <c r="Q794" s="106" t="str">
        <f ca="1">IF(J793&gt;=11,(MID(P794,1,1)&amp;MID(P794,2,4)+1),CELL("address",AH794))</f>
        <v>$AH$794</v>
      </c>
      <c r="R794" s="106" t="str">
        <f ca="1">IF(J793&gt;=12,(MID(Q794,1,1)&amp;MID(Q794,2,4)+1),CELL("address",AI794))</f>
        <v>$AI$794</v>
      </c>
    </row>
    <row r="795" spans="1:8" ht="18" customHeight="1">
      <c r="A795" s="320"/>
      <c r="B795" s="320"/>
      <c r="C795" s="321"/>
      <c r="D795" s="41" t="s">
        <v>24</v>
      </c>
      <c r="E795" s="70">
        <v>0.183</v>
      </c>
      <c r="F795" s="98"/>
      <c r="G795" s="113" t="str">
        <f>CONCATENATE(D795," - ",E795,", ")</f>
        <v>Misc. Aluminium scrap - 0.183, </v>
      </c>
      <c r="H795" s="110"/>
    </row>
    <row r="796" spans="1:8" ht="19.5" customHeight="1">
      <c r="A796" s="320"/>
      <c r="B796" s="320"/>
      <c r="C796" s="321"/>
      <c r="D796" s="41" t="s">
        <v>41</v>
      </c>
      <c r="E796" s="70">
        <v>0.287</v>
      </c>
      <c r="F796" s="98"/>
      <c r="G796" s="113" t="str">
        <f>CONCATENATE(D796," - ",E796,", ")</f>
        <v>Burnt Aluminium scrap - 0.287, </v>
      </c>
      <c r="H796" s="110"/>
    </row>
    <row r="797" spans="1:8" ht="15" customHeight="1">
      <c r="A797" s="320"/>
      <c r="B797" s="320"/>
      <c r="C797" s="321"/>
      <c r="D797" s="41" t="s">
        <v>37</v>
      </c>
      <c r="E797" s="69">
        <v>0.145</v>
      </c>
      <c r="F797" s="98"/>
      <c r="G797" s="113" t="str">
        <f>CONCATENATE(D797," - ",E797,", ")</f>
        <v>Burnt Cu scrap - 0.145, </v>
      </c>
      <c r="H797" s="110"/>
    </row>
    <row r="798" spans="1:8" ht="15" customHeight="1">
      <c r="A798" s="40"/>
      <c r="B798" s="43"/>
      <c r="C798" s="290"/>
      <c r="D798" s="41"/>
      <c r="E798" s="69"/>
      <c r="F798" s="98"/>
      <c r="G798" s="113"/>
      <c r="H798" s="110"/>
    </row>
    <row r="799" spans="1:8" ht="15" customHeight="1">
      <c r="A799" s="332"/>
      <c r="B799" s="333"/>
      <c r="C799" s="67"/>
      <c r="D799" s="67"/>
      <c r="E799" s="134">
        <f>SUM(E801:E804)</f>
        <v>0.418</v>
      </c>
      <c r="F799" s="98"/>
      <c r="G799" s="113"/>
      <c r="H799" s="110"/>
    </row>
    <row r="800" spans="1:18" ht="15" customHeight="1">
      <c r="A800" s="320" t="s">
        <v>5</v>
      </c>
      <c r="B800" s="320"/>
      <c r="C800" s="65" t="s">
        <v>17</v>
      </c>
      <c r="D800" s="66" t="s">
        <v>18</v>
      </c>
      <c r="E800" s="69" t="s">
        <v>7</v>
      </c>
      <c r="F800" s="98"/>
      <c r="G800" s="273" t="str">
        <f>CONCATENATE("Misc. Healthy parts/ Non Ferrous  Scrap, Lying at ",C801,". Quantity in MT - ")</f>
        <v>Misc. Healthy parts/ Non Ferrous  Scrap, Lying at CS Mohali. Quantity in MT - </v>
      </c>
      <c r="H800" s="355" t="str">
        <f ca="1">CONCATENATE(G800,G801,(INDIRECT(I801)),(INDIRECT(J801)),(INDIRECT(K801)),(INDIRECT(L801)),(INDIRECT(M801)),(INDIRECT(N801)),(INDIRECT(O801)),(INDIRECT(P801)),(INDIRECT(Q801)),(INDIRECT(R801)),".")</f>
        <v>Misc. Healthy parts/ Non Ferrous  Scrap, Lying at CS Mohali. Quantity in MT - Misc. Copper scrap - 0.313, Burnt Cu scrap - 0.041, All Alumn. Conductor Scrap - 0.054, Brass scrap - 0.01, .</v>
      </c>
      <c r="I800" s="106" t="str">
        <f aca="true" ca="1" t="array" ref="I800">CELL("address",INDEX(G800:G818,MATCH(TRUE,ISBLANK(G800:G818),0)))</f>
        <v>$G$805</v>
      </c>
      <c r="J800" s="106">
        <f aca="true" t="array" ref="J800">MATCH(TRUE,ISBLANK(G800:G818),0)</f>
        <v>6</v>
      </c>
      <c r="K800" s="106">
        <f>J800-3</f>
        <v>3</v>
      </c>
      <c r="L800" s="106"/>
      <c r="M800" s="106"/>
      <c r="N800" s="106"/>
      <c r="O800" s="106"/>
      <c r="P800" s="106"/>
      <c r="Q800" s="106"/>
      <c r="R800" s="106"/>
    </row>
    <row r="801" spans="1:18" ht="15" customHeight="1">
      <c r="A801" s="320" t="s">
        <v>39</v>
      </c>
      <c r="B801" s="320"/>
      <c r="C801" s="321" t="s">
        <v>62</v>
      </c>
      <c r="D801" s="41" t="s">
        <v>45</v>
      </c>
      <c r="E801" s="70">
        <v>0.313</v>
      </c>
      <c r="F801" s="98"/>
      <c r="G801" s="113" t="str">
        <f>CONCATENATE(D801," - ",E801,", ")</f>
        <v>Misc. Copper scrap - 0.313, </v>
      </c>
      <c r="H801" s="355"/>
      <c r="I801" s="106" t="str">
        <f ca="1">IF(J800&gt;=3,(MID(I800,2,1)&amp;MID(I800,4,4)-K800),CELL("address",Z801))</f>
        <v>G802</v>
      </c>
      <c r="J801" s="106" t="str">
        <f ca="1">IF(J800&gt;=4,(MID(I801,1,1)&amp;MID(I801,2,4)+1),CELL("address",AA801))</f>
        <v>G803</v>
      </c>
      <c r="K801" s="106" t="str">
        <f ca="1">IF(J800&gt;=5,(MID(J801,1,1)&amp;MID(J801,2,4)+1),CELL("address",AB801))</f>
        <v>G804</v>
      </c>
      <c r="L801" s="106" t="str">
        <f ca="1">IF(J800&gt;=6,(MID(K801,1,1)&amp;MID(K801,2,4)+1),CELL("address",AC801))</f>
        <v>G805</v>
      </c>
      <c r="M801" s="106" t="str">
        <f ca="1">IF(J800&gt;=7,(MID(L801,1,1)&amp;MID(L801,2,4)+1),CELL("address",AD801))</f>
        <v>$AD$801</v>
      </c>
      <c r="N801" s="106" t="str">
        <f ca="1">IF(J800&gt;=8,(MID(M801,1,1)&amp;MID(M801,2,4)+1),CELL("address",AE801))</f>
        <v>$AE$801</v>
      </c>
      <c r="O801" s="106" t="str">
        <f ca="1">IF(J800&gt;=9,(MID(N801,1,1)&amp;MID(N801,2,4)+1),CELL("address",AF801))</f>
        <v>$AF$801</v>
      </c>
      <c r="P801" s="106" t="str">
        <f ca="1">IF(J800&gt;=10,(MID(O801,1,1)&amp;MID(O801,2,4)+1),CELL("address",AG801))</f>
        <v>$AG$801</v>
      </c>
      <c r="Q801" s="106" t="str">
        <f ca="1">IF(J800&gt;=11,(MID(P801,1,1)&amp;MID(P801,2,4)+1),CELL("address",AH801))</f>
        <v>$AH$801</v>
      </c>
      <c r="R801" s="106" t="str">
        <f ca="1">IF(J800&gt;=12,(MID(Q801,1,1)&amp;MID(Q801,2,4)+1),CELL("address",AI801))</f>
        <v>$AI$801</v>
      </c>
    </row>
    <row r="802" spans="1:8" ht="15" customHeight="1">
      <c r="A802" s="320"/>
      <c r="B802" s="320"/>
      <c r="C802" s="321"/>
      <c r="D802" s="40" t="s">
        <v>37</v>
      </c>
      <c r="E802" s="70">
        <v>0.041</v>
      </c>
      <c r="F802" s="98"/>
      <c r="G802" s="113" t="str">
        <f>CONCATENATE(D802," - ",E802,", ")</f>
        <v>Burnt Cu scrap - 0.041, </v>
      </c>
      <c r="H802" s="110"/>
    </row>
    <row r="803" spans="1:8" ht="15" customHeight="1">
      <c r="A803" s="320"/>
      <c r="B803" s="320"/>
      <c r="C803" s="321"/>
      <c r="D803" s="46" t="s">
        <v>32</v>
      </c>
      <c r="E803" s="70">
        <v>0.054</v>
      </c>
      <c r="F803" s="98"/>
      <c r="G803" s="113" t="str">
        <f>CONCATENATE(D803," - ",E803,", ")</f>
        <v>All Alumn. Conductor Scrap - 0.054, </v>
      </c>
      <c r="H803" s="110"/>
    </row>
    <row r="804" spans="1:8" ht="15" customHeight="1">
      <c r="A804" s="320"/>
      <c r="B804" s="320"/>
      <c r="C804" s="321"/>
      <c r="D804" s="41" t="s">
        <v>23</v>
      </c>
      <c r="E804" s="70">
        <v>0.01</v>
      </c>
      <c r="F804" s="98"/>
      <c r="G804" s="113" t="str">
        <f>CONCATENATE(D804," - ",E804,", ")</f>
        <v>Brass scrap - 0.01, </v>
      </c>
      <c r="H804" s="110"/>
    </row>
    <row r="805" spans="1:8" ht="15" customHeight="1">
      <c r="A805" s="40"/>
      <c r="B805" s="43"/>
      <c r="C805" s="290"/>
      <c r="D805" s="41"/>
      <c r="E805" s="70"/>
      <c r="F805" s="98"/>
      <c r="G805" s="113"/>
      <c r="H805" s="110"/>
    </row>
    <row r="806" spans="1:8" ht="15" customHeight="1">
      <c r="A806" s="322"/>
      <c r="B806" s="323"/>
      <c r="C806" s="290"/>
      <c r="D806" s="41"/>
      <c r="E806" s="134">
        <f>E808</f>
        <v>0.092</v>
      </c>
      <c r="F806" s="98"/>
      <c r="G806" s="113"/>
      <c r="H806" s="110"/>
    </row>
    <row r="807" spans="1:18" ht="15" customHeight="1">
      <c r="A807" s="320" t="s">
        <v>5</v>
      </c>
      <c r="B807" s="320"/>
      <c r="C807" s="65" t="s">
        <v>17</v>
      </c>
      <c r="D807" s="66" t="s">
        <v>18</v>
      </c>
      <c r="E807" s="69" t="s">
        <v>7</v>
      </c>
      <c r="F807" s="98"/>
      <c r="G807" s="273" t="str">
        <f>CONCATENATE("Misc. Healthy parts/ Non Ferrous  Scrap, Lying at ",C808,". Quantity in MT - ")</f>
        <v>Misc. Healthy parts/ Non Ferrous  Scrap, Lying at OL store Patran. Quantity in MT - </v>
      </c>
      <c r="H807" s="355" t="str">
        <f ca="1">CONCATENATE(G807,G808,(INDIRECT(I808)),(INDIRECT(J808)),(INDIRECT(K808)),(INDIRECT(L808)),(INDIRECT(M808)),(INDIRECT(N808)),(INDIRECT(O808)),(INDIRECT(P808)),(INDIRECT(Q808)),(INDIRECT(R808)),".")</f>
        <v>Misc. Healthy parts/ Non Ferrous  Scrap, Lying at OL store Patran. Quantity in MT - Misc. Copper scrap - 0.092, .</v>
      </c>
      <c r="I807" s="106" t="str">
        <f aca="true" ca="1" t="array" ref="I807">CELL("address",INDEX(G807:G832,MATCH(TRUE,ISBLANK(G807:G832),0)))</f>
        <v>$G$809</v>
      </c>
      <c r="J807" s="106">
        <f aca="true" t="array" ref="J807">MATCH(TRUE,ISBLANK(G807:G832),0)</f>
        <v>3</v>
      </c>
      <c r="K807" s="106">
        <f>J807-3</f>
        <v>0</v>
      </c>
      <c r="L807" s="106"/>
      <c r="M807" s="106"/>
      <c r="N807" s="106"/>
      <c r="O807" s="106"/>
      <c r="P807" s="106"/>
      <c r="Q807" s="106"/>
      <c r="R807" s="106"/>
    </row>
    <row r="808" spans="1:18" ht="15" customHeight="1">
      <c r="A808" s="320" t="s">
        <v>40</v>
      </c>
      <c r="B808" s="320"/>
      <c r="C808" s="290" t="s">
        <v>101</v>
      </c>
      <c r="D808" s="41" t="s">
        <v>45</v>
      </c>
      <c r="E808" s="70">
        <v>0.092</v>
      </c>
      <c r="F808" s="98"/>
      <c r="G808" s="113" t="str">
        <f>CONCATENATE(D808," - ",E808,", ")</f>
        <v>Misc. Copper scrap - 0.092, </v>
      </c>
      <c r="H808" s="355"/>
      <c r="I808" s="106" t="str">
        <f ca="1">IF(J807&gt;=3,(MID(I807,2,1)&amp;MID(I807,4,4)-K807),CELL("address",Z808))</f>
        <v>G809</v>
      </c>
      <c r="J808" s="106" t="str">
        <f ca="1">IF(J807&gt;=4,(MID(I808,1,1)&amp;MID(I808,2,4)+1),CELL("address",AA808))</f>
        <v>$AA$808</v>
      </c>
      <c r="K808" s="106" t="str">
        <f ca="1">IF(J807&gt;=5,(MID(J808,1,1)&amp;MID(J808,2,4)+1),CELL("address",AB808))</f>
        <v>$AB$808</v>
      </c>
      <c r="L808" s="106" t="str">
        <f ca="1">IF(J807&gt;=6,(MID(K808,1,1)&amp;MID(K808,2,4)+1),CELL("address",AC808))</f>
        <v>$AC$808</v>
      </c>
      <c r="M808" s="106" t="str">
        <f ca="1">IF(J807&gt;=7,(MID(L808,1,1)&amp;MID(L808,2,4)+1),CELL("address",AD808))</f>
        <v>$AD$808</v>
      </c>
      <c r="N808" s="106" t="str">
        <f ca="1">IF(J807&gt;=8,(MID(M808,1,1)&amp;MID(M808,2,4)+1),CELL("address",AE808))</f>
        <v>$AE$808</v>
      </c>
      <c r="O808" s="106" t="str">
        <f ca="1">IF(J807&gt;=9,(MID(N808,1,1)&amp;MID(N808,2,4)+1),CELL("address",AF808))</f>
        <v>$AF$808</v>
      </c>
      <c r="P808" s="106" t="str">
        <f ca="1">IF(J807&gt;=10,(MID(O808,1,1)&amp;MID(O808,2,4)+1),CELL("address",AG808))</f>
        <v>$AG$808</v>
      </c>
      <c r="Q808" s="106" t="str">
        <f ca="1">IF(J807&gt;=11,(MID(P808,1,1)&amp;MID(P808,2,4)+1),CELL("address",AH808))</f>
        <v>$AH$808</v>
      </c>
      <c r="R808" s="106" t="str">
        <f ca="1">IF(J807&gt;=12,(MID(Q808,1,1)&amp;MID(Q808,2,4)+1),CELL("address",AI808))</f>
        <v>$AI$808</v>
      </c>
    </row>
    <row r="809" spans="1:8" ht="15" customHeight="1">
      <c r="A809" s="51"/>
      <c r="B809" s="60"/>
      <c r="C809" s="297"/>
      <c r="D809" s="41"/>
      <c r="E809" s="47"/>
      <c r="F809" s="98"/>
      <c r="G809" s="98"/>
      <c r="H809" s="110"/>
    </row>
    <row r="810" spans="1:8" ht="15" customHeight="1">
      <c r="A810" s="51"/>
      <c r="B810" s="60"/>
      <c r="C810" s="297"/>
      <c r="D810" s="46"/>
      <c r="E810" s="68">
        <f>SUM(E812:E814)</f>
        <v>0.341</v>
      </c>
      <c r="F810" s="98"/>
      <c r="G810" s="98"/>
      <c r="H810" s="110"/>
    </row>
    <row r="811" spans="1:18" ht="15" customHeight="1">
      <c r="A811" s="320" t="s">
        <v>5</v>
      </c>
      <c r="B811" s="320"/>
      <c r="C811" s="65" t="s">
        <v>17</v>
      </c>
      <c r="D811" s="66" t="s">
        <v>18</v>
      </c>
      <c r="E811" s="65" t="s">
        <v>7</v>
      </c>
      <c r="F811" s="98"/>
      <c r="G811" s="99" t="str">
        <f>CONCATENATE("Misc. Healthy parts/ Non Ferrous  Scrap, Lying at ",C812,". Quantity in MT - ")</f>
        <v>Misc. Healthy parts/ Non Ferrous  Scrap, Lying at CS Patiala. Quantity in MT - </v>
      </c>
      <c r="H811" s="355" t="str">
        <f ca="1">CONCATENATE(G811,G812,(INDIRECT(I812)),(INDIRECT(J812)),(INDIRECT(K812)),(INDIRECT(L812)),(INDIRECT(M812)),(INDIRECT(N812)),(INDIRECT(O812)),(INDIRECT(P812)),(INDIRECT(Q812)),(INDIRECT(R812)),".")</f>
        <v>Misc. Healthy parts/ Non Ferrous  Scrap, Lying at CS Patiala. Quantity in MT - Misc. Alumn. Scrap - 0.101, Misc. copper scrap - 0.218, Burnt copper scrap - 0.022, .</v>
      </c>
      <c r="I811" s="106" t="str">
        <f aca="true" ca="1" t="array" ref="I811">CELL("address",INDEX(G811:G836,MATCH(TRUE,ISBLANK(G811:G836),0)))</f>
        <v>$G$815</v>
      </c>
      <c r="J811" s="106">
        <f aca="true" t="array" ref="J811">MATCH(TRUE,ISBLANK(G811:G836),0)</f>
        <v>5</v>
      </c>
      <c r="K811" s="106">
        <f>J811-3</f>
        <v>2</v>
      </c>
      <c r="L811" s="106"/>
      <c r="M811" s="106"/>
      <c r="N811" s="106"/>
      <c r="O811" s="106"/>
      <c r="P811" s="106"/>
      <c r="Q811" s="106"/>
      <c r="R811" s="106"/>
    </row>
    <row r="812" spans="1:18" ht="15" customHeight="1">
      <c r="A812" s="350" t="s">
        <v>80</v>
      </c>
      <c r="B812" s="351"/>
      <c r="C812" s="344" t="s">
        <v>52</v>
      </c>
      <c r="D812" s="61" t="s">
        <v>31</v>
      </c>
      <c r="E812" s="48">
        <v>0.101</v>
      </c>
      <c r="F812" s="98"/>
      <c r="G812" s="98" t="str">
        <f>CONCATENATE(D812," - ",E812,", ")</f>
        <v>Misc. Alumn. Scrap - 0.101, </v>
      </c>
      <c r="H812" s="355"/>
      <c r="I812" s="106" t="str">
        <f ca="1">IF(J811&gt;=3,(MID(I811,2,1)&amp;MID(I811,4,4)-K811),CELL("address",Z812))</f>
        <v>G813</v>
      </c>
      <c r="J812" s="106" t="str">
        <f ca="1">IF(J811&gt;=4,(MID(I812,1,1)&amp;MID(I812,2,4)+1),CELL("address",AA812))</f>
        <v>G814</v>
      </c>
      <c r="K812" s="106" t="str">
        <f ca="1">IF(J811&gt;=5,(MID(J812,1,1)&amp;MID(J812,2,4)+1),CELL("address",AB812))</f>
        <v>G815</v>
      </c>
      <c r="L812" s="106" t="str">
        <f ca="1">IF(J811&gt;=6,(MID(K812,1,1)&amp;MID(K812,2,4)+1),CELL("address",AC812))</f>
        <v>$AC$812</v>
      </c>
      <c r="M812" s="106" t="str">
        <f ca="1">IF(J811&gt;=7,(MID(L812,1,1)&amp;MID(L812,2,4)+1),CELL("address",AD812))</f>
        <v>$AD$812</v>
      </c>
      <c r="N812" s="106" t="str">
        <f ca="1">IF(J811&gt;=8,(MID(M812,1,1)&amp;MID(M812,2,4)+1),CELL("address",AE812))</f>
        <v>$AE$812</v>
      </c>
      <c r="O812" s="106" t="str">
        <f ca="1">IF(J811&gt;=9,(MID(N812,1,1)&amp;MID(N812,2,4)+1),CELL("address",AF812))</f>
        <v>$AF$812</v>
      </c>
      <c r="P812" s="106" t="str">
        <f ca="1">IF(J811&gt;=10,(MID(O812,1,1)&amp;MID(O812,2,4)+1),CELL("address",AG812))</f>
        <v>$AG$812</v>
      </c>
      <c r="Q812" s="106" t="str">
        <f ca="1">IF(J811&gt;=11,(MID(P812,1,1)&amp;MID(P812,2,4)+1),CELL("address",AH812))</f>
        <v>$AH$812</v>
      </c>
      <c r="R812" s="106" t="str">
        <f ca="1">IF(J811&gt;=12,(MID(Q812,1,1)&amp;MID(Q812,2,4)+1),CELL("address",AI812))</f>
        <v>$AI$812</v>
      </c>
    </row>
    <row r="813" spans="1:8" ht="15" customHeight="1">
      <c r="A813" s="371"/>
      <c r="B813" s="372"/>
      <c r="C813" s="345"/>
      <c r="D813" s="61" t="s">
        <v>111</v>
      </c>
      <c r="E813" s="65">
        <v>0.218</v>
      </c>
      <c r="F813" s="98"/>
      <c r="G813" s="98" t="str">
        <f>CONCATENATE(D813," - ",E813,", ")</f>
        <v>Misc. copper scrap - 0.218, </v>
      </c>
      <c r="H813" s="110"/>
    </row>
    <row r="814" spans="1:8" ht="15" customHeight="1">
      <c r="A814" s="373"/>
      <c r="B814" s="374"/>
      <c r="C814" s="346"/>
      <c r="D814" s="61" t="s">
        <v>47</v>
      </c>
      <c r="E814" s="65">
        <v>0.022</v>
      </c>
      <c r="F814" s="98"/>
      <c r="G814" s="98" t="str">
        <f>CONCATENATE(D814," - ",E814,", ")</f>
        <v>Burnt copper scrap - 0.022, </v>
      </c>
      <c r="H814" s="110"/>
    </row>
    <row r="815" spans="1:8" ht="15" customHeight="1">
      <c r="A815" s="322"/>
      <c r="B815" s="323"/>
      <c r="C815" s="290"/>
      <c r="D815" s="61"/>
      <c r="E815" s="65"/>
      <c r="F815" s="98"/>
      <c r="G815" s="98"/>
      <c r="H815" s="110"/>
    </row>
    <row r="816" spans="1:8" ht="15" customHeight="1">
      <c r="A816" s="332"/>
      <c r="B816" s="333"/>
      <c r="C816" s="67"/>
      <c r="D816" s="67"/>
      <c r="E816" s="68">
        <f>SUM(E818:E825)</f>
        <v>4.923</v>
      </c>
      <c r="F816" s="98"/>
      <c r="G816" s="98"/>
      <c r="H816" s="110"/>
    </row>
    <row r="817" spans="1:18" ht="15" customHeight="1">
      <c r="A817" s="350" t="s">
        <v>5</v>
      </c>
      <c r="B817" s="351"/>
      <c r="C817" s="65" t="s">
        <v>17</v>
      </c>
      <c r="D817" s="66" t="s">
        <v>18</v>
      </c>
      <c r="E817" s="69" t="s">
        <v>7</v>
      </c>
      <c r="F817" s="98"/>
      <c r="G817" s="99" t="str">
        <f>CONCATENATE("Misc. Healthy parts/ Non Ferrous  Scrap, Lying at ",C818,". Quantity in MT - ")</f>
        <v>Misc. Healthy parts/ Non Ferrous  Scrap, Lying at CS Kotkapura. Quantity in MT - </v>
      </c>
      <c r="H817" s="355" t="str">
        <f ca="1">CONCATENATE(G817,G818,(INDIRECT(I818)),(INDIRECT(J818)),(INDIRECT(K818)),(INDIRECT(L818)),(INDIRECT(M818)),(INDIRECT(N818)),(INDIRECT(O818)),(INDIRECT(P818)),(INDIRECT(Q818)),(INDIRECT(R818)),".")</f>
        <v>Misc. Healthy parts/ Non Ferrous  Scrap, Lying at CS Kotkapura. Quantity in MT - Brass scrap - 4.046, Misc. Copper scrap - 0.066, Burnt Cu scrap - 0.325, Misc. Aluminium scrap - 0.205, Burnt Aluminium scrap - 0.055, All Alum scrap - 0.09, Alu scrap of damaged T/F accessories - 0.096, Copper scrap - 0.04, .</v>
      </c>
      <c r="I817" s="106" t="str">
        <f aca="true" ca="1" t="array" ref="I817">CELL("address",INDEX(G817:G842,MATCH(TRUE,ISBLANK(G817:G842),0)))</f>
        <v>$G$826</v>
      </c>
      <c r="J817" s="106">
        <f aca="true" t="array" ref="J817">MATCH(TRUE,ISBLANK(G817:G842),0)</f>
        <v>10</v>
      </c>
      <c r="K817" s="106">
        <f>J817-3</f>
        <v>7</v>
      </c>
      <c r="L817" s="106"/>
      <c r="M817" s="106"/>
      <c r="N817" s="106"/>
      <c r="O817" s="106"/>
      <c r="P817" s="106"/>
      <c r="Q817" s="106"/>
      <c r="R817" s="106"/>
    </row>
    <row r="818" spans="1:18" ht="15" customHeight="1">
      <c r="A818" s="320" t="s">
        <v>442</v>
      </c>
      <c r="B818" s="320"/>
      <c r="C818" s="321" t="s">
        <v>43</v>
      </c>
      <c r="D818" s="41" t="s">
        <v>23</v>
      </c>
      <c r="E818" s="70">
        <v>4.046</v>
      </c>
      <c r="F818" s="98"/>
      <c r="G818" s="98" t="str">
        <f aca="true" t="shared" si="6" ref="G818:G825">CONCATENATE(D818," - ",E818,", ")</f>
        <v>Brass scrap - 4.046, </v>
      </c>
      <c r="H818" s="355"/>
      <c r="I818" s="106" t="str">
        <f ca="1">IF(J817&gt;=3,(MID(I817,2,1)&amp;MID(I817,4,4)-K817),CELL("address",Z818))</f>
        <v>G819</v>
      </c>
      <c r="J818" s="106" t="str">
        <f ca="1">IF(J817&gt;=4,(MID(I818,1,1)&amp;MID(I818,2,4)+1),CELL("address",AA818))</f>
        <v>G820</v>
      </c>
      <c r="K818" s="106" t="str">
        <f ca="1">IF(J817&gt;=5,(MID(J818,1,1)&amp;MID(J818,2,4)+1),CELL("address",AB818))</f>
        <v>G821</v>
      </c>
      <c r="L818" s="106" t="str">
        <f ca="1">IF(J817&gt;=6,(MID(K818,1,1)&amp;MID(K818,2,4)+1),CELL("address",AC818))</f>
        <v>G822</v>
      </c>
      <c r="M818" s="106" t="str">
        <f ca="1">IF(J817&gt;=7,(MID(L818,1,1)&amp;MID(L818,2,4)+1),CELL("address",AD818))</f>
        <v>G823</v>
      </c>
      <c r="N818" s="106" t="str">
        <f ca="1">IF(J817&gt;=8,(MID(M818,1,1)&amp;MID(M818,2,4)+1),CELL("address",AE818))</f>
        <v>G824</v>
      </c>
      <c r="O818" s="106" t="str">
        <f ca="1">IF(J817&gt;=9,(MID(N818,1,1)&amp;MID(N818,2,4)+1),CELL("address",AF818))</f>
        <v>G825</v>
      </c>
      <c r="P818" s="106" t="str">
        <f ca="1">IF(J817&gt;=10,(MID(O818,1,1)&amp;MID(O818,2,4)+1),CELL("address",AG818))</f>
        <v>G826</v>
      </c>
      <c r="Q818" s="106" t="str">
        <f ca="1">IF(J817&gt;=11,(MID(P818,1,1)&amp;MID(P818,2,4)+1),CELL("address",AH818))</f>
        <v>$AH$818</v>
      </c>
      <c r="R818" s="106" t="str">
        <f ca="1">IF(J817&gt;=12,(MID(Q818,1,1)&amp;MID(Q818,2,4)+1),CELL("address",AI818))</f>
        <v>$AI$818</v>
      </c>
    </row>
    <row r="819" spans="1:8" ht="15" customHeight="1">
      <c r="A819" s="320"/>
      <c r="B819" s="320"/>
      <c r="C819" s="321"/>
      <c r="D819" s="292" t="s">
        <v>45</v>
      </c>
      <c r="E819" s="298">
        <v>0.066</v>
      </c>
      <c r="F819" s="98">
        <v>0.065</v>
      </c>
      <c r="G819" s="98" t="str">
        <f t="shared" si="6"/>
        <v>Misc. Copper scrap - 0.066, </v>
      </c>
      <c r="H819" s="110"/>
    </row>
    <row r="820" spans="1:8" ht="15" customHeight="1">
      <c r="A820" s="320"/>
      <c r="B820" s="320"/>
      <c r="C820" s="321"/>
      <c r="D820" s="40" t="s">
        <v>37</v>
      </c>
      <c r="E820" s="70">
        <v>0.325</v>
      </c>
      <c r="F820" s="98"/>
      <c r="G820" s="98" t="str">
        <f t="shared" si="6"/>
        <v>Burnt Cu scrap - 0.325, </v>
      </c>
      <c r="H820" s="110"/>
    </row>
    <row r="821" spans="1:8" ht="15" customHeight="1">
      <c r="A821" s="320"/>
      <c r="B821" s="320"/>
      <c r="C821" s="321"/>
      <c r="D821" s="41" t="s">
        <v>24</v>
      </c>
      <c r="E821" s="70">
        <v>0.205</v>
      </c>
      <c r="F821" s="98"/>
      <c r="G821" s="98" t="str">
        <f t="shared" si="6"/>
        <v>Misc. Aluminium scrap - 0.205, </v>
      </c>
      <c r="H821" s="110"/>
    </row>
    <row r="822" spans="1:8" ht="15" customHeight="1">
      <c r="A822" s="320"/>
      <c r="B822" s="320"/>
      <c r="C822" s="321"/>
      <c r="D822" s="40" t="s">
        <v>41</v>
      </c>
      <c r="E822" s="70">
        <v>0.055</v>
      </c>
      <c r="F822" s="98"/>
      <c r="G822" s="98" t="str">
        <f t="shared" si="6"/>
        <v>Burnt Aluminium scrap - 0.055, </v>
      </c>
      <c r="H822" s="110"/>
    </row>
    <row r="823" spans="1:8" ht="15" customHeight="1">
      <c r="A823" s="320"/>
      <c r="B823" s="320"/>
      <c r="C823" s="321"/>
      <c r="D823" s="40" t="s">
        <v>393</v>
      </c>
      <c r="E823" s="70">
        <v>0.09</v>
      </c>
      <c r="F823" s="98"/>
      <c r="G823" s="98" t="str">
        <f t="shared" si="6"/>
        <v>All Alum scrap - 0.09, </v>
      </c>
      <c r="H823" s="110"/>
    </row>
    <row r="824" spans="1:8" ht="15" customHeight="1">
      <c r="A824" s="320"/>
      <c r="B824" s="320"/>
      <c r="C824" s="321"/>
      <c r="D824" s="40" t="s">
        <v>394</v>
      </c>
      <c r="E824" s="70">
        <v>0.096</v>
      </c>
      <c r="F824" s="98"/>
      <c r="G824" s="98" t="str">
        <f t="shared" si="6"/>
        <v>Alu scrap of damaged T/F accessories - 0.096, </v>
      </c>
      <c r="H824" s="110"/>
    </row>
    <row r="825" spans="1:8" ht="15" customHeight="1">
      <c r="A825" s="320"/>
      <c r="B825" s="320"/>
      <c r="C825" s="321"/>
      <c r="D825" s="304" t="s">
        <v>395</v>
      </c>
      <c r="E825" s="298">
        <v>0.04</v>
      </c>
      <c r="F825" s="98">
        <v>0.033</v>
      </c>
      <c r="G825" s="98" t="str">
        <f t="shared" si="6"/>
        <v>Copper scrap - 0.04, </v>
      </c>
      <c r="H825" s="110"/>
    </row>
    <row r="826" spans="1:8" ht="15" customHeight="1">
      <c r="A826" s="51"/>
      <c r="B826" s="60"/>
      <c r="C826" s="297"/>
      <c r="D826" s="40"/>
      <c r="E826" s="70"/>
      <c r="F826" s="98"/>
      <c r="G826" s="98"/>
      <c r="H826" s="110"/>
    </row>
    <row r="827" spans="1:8" ht="15" customHeight="1">
      <c r="A827" s="51"/>
      <c r="B827" s="60"/>
      <c r="C827" s="297"/>
      <c r="D827" s="46"/>
      <c r="E827" s="68">
        <f>SUM(E829:E830)</f>
        <v>0.628</v>
      </c>
      <c r="F827" s="98"/>
      <c r="G827" s="98"/>
      <c r="H827" s="110"/>
    </row>
    <row r="828" spans="1:18" ht="15" customHeight="1">
      <c r="A828" s="320" t="s">
        <v>5</v>
      </c>
      <c r="B828" s="320"/>
      <c r="C828" s="65" t="s">
        <v>17</v>
      </c>
      <c r="D828" s="66" t="s">
        <v>18</v>
      </c>
      <c r="E828" s="65" t="s">
        <v>7</v>
      </c>
      <c r="F828" s="98"/>
      <c r="G828" s="99" t="str">
        <f>CONCATENATE("Misc. Healthy parts/ Non Ferrous  Scrap, Lying at ",C829,". Quantity in MT - ")</f>
        <v>Misc. Healthy parts/ Non Ferrous  Scrap, Lying at OL store Malerkotla. Quantity in MT - </v>
      </c>
      <c r="H828" s="355" t="str">
        <f ca="1">CONCATENATE(G828,G829,(INDIRECT(I829)),(INDIRECT(J829)),(INDIRECT(K829)),(INDIRECT(L829)),(INDIRECT(M829)),(INDIRECT(N829)),(INDIRECT(O829)),(INDIRECT(P829)),(INDIRECT(Q829)),(INDIRECT(R829)),".")</f>
        <v>Misc. Healthy parts/ Non Ferrous  Scrap, Lying at OL store Malerkotla. Quantity in MT - Misc. Alumn. Scrap - 0.028, Misc. copper scrap - 0.6, .</v>
      </c>
      <c r="I828" s="106" t="str">
        <f aca="true" ca="1" t="array" ref="I828">CELL("address",INDEX(G828:G851,MATCH(TRUE,ISBLANK(G828:G851),0)))</f>
        <v>$G$831</v>
      </c>
      <c r="J828" s="106">
        <f aca="true" t="array" ref="J828">MATCH(TRUE,ISBLANK(G828:G851),0)</f>
        <v>4</v>
      </c>
      <c r="K828" s="106">
        <f>J828-3</f>
        <v>1</v>
      </c>
      <c r="L828" s="106"/>
      <c r="M828" s="106"/>
      <c r="N828" s="106"/>
      <c r="O828" s="106"/>
      <c r="P828" s="106"/>
      <c r="Q828" s="106"/>
      <c r="R828" s="106"/>
    </row>
    <row r="829" spans="1:18" ht="15" customHeight="1">
      <c r="A829" s="350" t="s">
        <v>44</v>
      </c>
      <c r="B829" s="351"/>
      <c r="C829" s="344" t="s">
        <v>116</v>
      </c>
      <c r="D829" s="61" t="s">
        <v>31</v>
      </c>
      <c r="E829" s="48">
        <v>0.028</v>
      </c>
      <c r="F829" s="98"/>
      <c r="G829" s="98" t="str">
        <f>CONCATENATE(D829," - ",E829,", ")</f>
        <v>Misc. Alumn. Scrap - 0.028, </v>
      </c>
      <c r="H829" s="355"/>
      <c r="I829" s="106" t="str">
        <f ca="1">IF(J828&gt;=3,(MID(I828,2,1)&amp;MID(I828,4,4)-K828),CELL("address",Z829))</f>
        <v>G830</v>
      </c>
      <c r="J829" s="106" t="str">
        <f ca="1">IF(J828&gt;=4,(MID(I829,1,1)&amp;MID(I829,2,4)+1),CELL("address",AA829))</f>
        <v>G831</v>
      </c>
      <c r="K829" s="106" t="str">
        <f ca="1">IF(J828&gt;=5,(MID(J829,1,1)&amp;MID(J829,2,4)+1),CELL("address",AB829))</f>
        <v>$AB$829</v>
      </c>
      <c r="L829" s="106" t="str">
        <f ca="1">IF(J828&gt;=6,(MID(K829,1,1)&amp;MID(K829,2,4)+1),CELL("address",AC829))</f>
        <v>$AC$829</v>
      </c>
      <c r="M829" s="106" t="str">
        <f ca="1">IF(J828&gt;=7,(MID(L829,1,1)&amp;MID(L829,2,4)+1),CELL("address",AD829))</f>
        <v>$AD$829</v>
      </c>
      <c r="N829" s="106" t="str">
        <f ca="1">IF(J828&gt;=8,(MID(M829,1,1)&amp;MID(M829,2,4)+1),CELL("address",AE829))</f>
        <v>$AE$829</v>
      </c>
      <c r="O829" s="106" t="str">
        <f ca="1">IF(J828&gt;=9,(MID(N829,1,1)&amp;MID(N829,2,4)+1),CELL("address",AF829))</f>
        <v>$AF$829</v>
      </c>
      <c r="P829" s="106" t="str">
        <f ca="1">IF(J828&gt;=10,(MID(O829,1,1)&amp;MID(O829,2,4)+1),CELL("address",AG829))</f>
        <v>$AG$829</v>
      </c>
      <c r="Q829" s="106" t="str">
        <f ca="1">IF(J828&gt;=11,(MID(P829,1,1)&amp;MID(P829,2,4)+1),CELL("address",AH829))</f>
        <v>$AH$829</v>
      </c>
      <c r="R829" s="106" t="str">
        <f ca="1">IF(J828&gt;=12,(MID(Q829,1,1)&amp;MID(Q829,2,4)+1),CELL("address",AI829))</f>
        <v>$AI$829</v>
      </c>
    </row>
    <row r="830" spans="1:8" ht="15" customHeight="1">
      <c r="A830" s="373"/>
      <c r="B830" s="374"/>
      <c r="C830" s="346"/>
      <c r="D830" s="226" t="s">
        <v>111</v>
      </c>
      <c r="E830" s="237">
        <v>0.6</v>
      </c>
      <c r="F830" s="98">
        <v>0.28</v>
      </c>
      <c r="G830" s="98" t="str">
        <f>CONCATENATE(D830," - ",E830,", ")</f>
        <v>Misc. copper scrap - 0.6, </v>
      </c>
      <c r="H830" s="110"/>
    </row>
    <row r="831" spans="1:8" ht="15" customHeight="1">
      <c r="A831" s="322"/>
      <c r="B831" s="323"/>
      <c r="C831" s="290"/>
      <c r="D831" s="61"/>
      <c r="E831" s="65"/>
      <c r="F831" s="98"/>
      <c r="G831" s="98"/>
      <c r="H831" s="110"/>
    </row>
    <row r="832" spans="1:8" ht="15" customHeight="1">
      <c r="A832" s="332"/>
      <c r="B832" s="333"/>
      <c r="C832" s="67"/>
      <c r="D832" s="67"/>
      <c r="E832" s="68">
        <f>SUM(E834:E835)</f>
        <v>0.067</v>
      </c>
      <c r="F832" s="98"/>
      <c r="G832" s="98"/>
      <c r="H832" s="110"/>
    </row>
    <row r="833" spans="1:18" ht="15" customHeight="1">
      <c r="A833" s="320" t="s">
        <v>5</v>
      </c>
      <c r="B833" s="320"/>
      <c r="C833" s="65" t="s">
        <v>17</v>
      </c>
      <c r="D833" s="66" t="s">
        <v>18</v>
      </c>
      <c r="E833" s="65" t="s">
        <v>7</v>
      </c>
      <c r="F833" s="98"/>
      <c r="G833" s="99" t="str">
        <f>CONCATENATE("Misc. Healthy parts/ Non Ferrous  Scrap, Lying at ",C834,". Quantity in MT - ")</f>
        <v>Misc. Healthy parts/ Non Ferrous  Scrap, Lying at TRY Malerkotla. Quantity in MT - </v>
      </c>
      <c r="H833" s="355" t="str">
        <f ca="1">CONCATENATE(G833,G834,(INDIRECT(I834)),(INDIRECT(J834)),(INDIRECT(K834)),(INDIRECT(L834)),(INDIRECT(M834)),(INDIRECT(N834)),(INDIRECT(O834)),(INDIRECT(P834)),(INDIRECT(Q834)),(INDIRECT(R834)),".")</f>
        <v>Misc. Healthy parts/ Non Ferrous  Scrap, Lying at TRY Malerkotla. Quantity in MT - Brass scrap - 0.062, Misc. Alumn. Scrap - 0.005, .</v>
      </c>
      <c r="I833" s="106" t="str">
        <f aca="true" ca="1" t="array" ref="I833">CELL("address",INDEX(G833:G856,MATCH(TRUE,ISBLANK(G833:G856),0)))</f>
        <v>$G$836</v>
      </c>
      <c r="J833" s="106">
        <f aca="true" t="array" ref="J833">MATCH(TRUE,ISBLANK(G833:G856),0)</f>
        <v>4</v>
      </c>
      <c r="K833" s="106">
        <f>J833-3</f>
        <v>1</v>
      </c>
      <c r="L833" s="106"/>
      <c r="M833" s="106"/>
      <c r="N833" s="106"/>
      <c r="O833" s="106"/>
      <c r="P833" s="106"/>
      <c r="Q833" s="106"/>
      <c r="R833" s="106"/>
    </row>
    <row r="834" spans="1:18" ht="15" customHeight="1">
      <c r="A834" s="320" t="s">
        <v>53</v>
      </c>
      <c r="B834" s="320"/>
      <c r="C834" s="321" t="s">
        <v>28</v>
      </c>
      <c r="D834" s="46" t="s">
        <v>23</v>
      </c>
      <c r="E834" s="46">
        <v>0.062</v>
      </c>
      <c r="F834" s="98"/>
      <c r="G834" s="98" t="str">
        <f>CONCATENATE(D834," - ",E834,", ")</f>
        <v>Brass scrap - 0.062, </v>
      </c>
      <c r="H834" s="355"/>
      <c r="I834" s="106" t="str">
        <f ca="1">IF(J833&gt;=3,(MID(I833,2,1)&amp;MID(I833,4,4)-K833),CELL("address",Z834))</f>
        <v>G835</v>
      </c>
      <c r="J834" s="106" t="str">
        <f ca="1">IF(J833&gt;=4,(MID(I834,1,1)&amp;MID(I834,2,4)+1),CELL("address",AA834))</f>
        <v>G836</v>
      </c>
      <c r="K834" s="106" t="str">
        <f ca="1">IF(J833&gt;=5,(MID(J834,1,1)&amp;MID(J834,2,4)+1),CELL("address",AB834))</f>
        <v>$AB$834</v>
      </c>
      <c r="L834" s="106" t="str">
        <f ca="1">IF(J833&gt;=6,(MID(K834,1,1)&amp;MID(K834,2,4)+1),CELL("address",AC834))</f>
        <v>$AC$834</v>
      </c>
      <c r="M834" s="106" t="str">
        <f ca="1">IF(J833&gt;=7,(MID(L834,1,1)&amp;MID(L834,2,4)+1),CELL("address",AD834))</f>
        <v>$AD$834</v>
      </c>
      <c r="N834" s="106" t="str">
        <f ca="1">IF(J833&gt;=8,(MID(M834,1,1)&amp;MID(M834,2,4)+1),CELL("address",AE834))</f>
        <v>$AE$834</v>
      </c>
      <c r="O834" s="106" t="str">
        <f ca="1">IF(J833&gt;=9,(MID(N834,1,1)&amp;MID(N834,2,4)+1),CELL("address",AF834))</f>
        <v>$AF$834</v>
      </c>
      <c r="P834" s="106" t="str">
        <f ca="1">IF(J833&gt;=10,(MID(O834,1,1)&amp;MID(O834,2,4)+1),CELL("address",AG834))</f>
        <v>$AG$834</v>
      </c>
      <c r="Q834" s="106" t="str">
        <f ca="1">IF(J833&gt;=11,(MID(P834,1,1)&amp;MID(P834,2,4)+1),CELL("address",AH834))</f>
        <v>$AH$834</v>
      </c>
      <c r="R834" s="106" t="str">
        <f ca="1">IF(J833&gt;=12,(MID(Q834,1,1)&amp;MID(Q834,2,4)+1),CELL("address",AI834))</f>
        <v>$AI$834</v>
      </c>
    </row>
    <row r="835" spans="1:8" ht="15" customHeight="1">
      <c r="A835" s="320"/>
      <c r="B835" s="320"/>
      <c r="C835" s="321"/>
      <c r="D835" s="46" t="s">
        <v>31</v>
      </c>
      <c r="E835" s="65">
        <v>0.005</v>
      </c>
      <c r="F835" s="98"/>
      <c r="G835" s="98" t="str">
        <f>CONCATENATE(D835," - ",E835,", ")</f>
        <v>Misc. Alumn. Scrap - 0.005, </v>
      </c>
      <c r="H835" s="110"/>
    </row>
    <row r="836" spans="1:8" ht="15" customHeight="1">
      <c r="A836" s="322"/>
      <c r="B836" s="323"/>
      <c r="C836" s="290"/>
      <c r="D836" s="46"/>
      <c r="E836" s="65"/>
      <c r="F836" s="98"/>
      <c r="G836" s="98"/>
      <c r="H836" s="110"/>
    </row>
    <row r="837" spans="1:8" ht="15" customHeight="1">
      <c r="A837" s="332"/>
      <c r="B837" s="333"/>
      <c r="C837" s="67"/>
      <c r="D837" s="67"/>
      <c r="E837" s="68">
        <f>SUM(E839:E843)</f>
        <v>1.432</v>
      </c>
      <c r="F837" s="98"/>
      <c r="G837" s="98"/>
      <c r="H837" s="110"/>
    </row>
    <row r="838" spans="1:18" ht="15" customHeight="1">
      <c r="A838" s="322" t="s">
        <v>5</v>
      </c>
      <c r="B838" s="323"/>
      <c r="C838" s="65" t="s">
        <v>17</v>
      </c>
      <c r="D838" s="66" t="s">
        <v>18</v>
      </c>
      <c r="E838" s="65" t="s">
        <v>7</v>
      </c>
      <c r="F838" s="98"/>
      <c r="G838" s="99" t="str">
        <f>CONCATENATE("Misc. Healthy parts/ Non Ferrous  Scrap, Lying at ",C839,". Quantity in MT - ")</f>
        <v>Misc. Healthy parts/ Non Ferrous  Scrap, Lying at TRY Patran. Quantity in MT - </v>
      </c>
      <c r="H838" s="355" t="str">
        <f ca="1">CONCATENATE(G838,G839,(INDIRECT(I839)),(INDIRECT(J839)),(INDIRECT(K839)),(INDIRECT(L839)),(INDIRECT(M839)),(INDIRECT(N839)),(INDIRECT(O839)),(INDIRECT(P839)),(INDIRECT(Q839)),(INDIRECT(R839)),".")</f>
        <v>Misc. Healthy parts/ Non Ferrous  Scrap, Lying at TRY Patran. Quantity in MT - Brass scrap - 0.642, Misc. Aluminium scrap - 0.071, Burnt Cu scrap - 0.028, Ms Nuts &amp; Bolts - 0.6, Iron scrap - 0.091, .</v>
      </c>
      <c r="I838" s="106" t="str">
        <f aca="true" ca="1" t="array" ref="I838">CELL("address",INDEX(G838:G861,MATCH(TRUE,ISBLANK(G838:G861),0)))</f>
        <v>$G$844</v>
      </c>
      <c r="J838" s="106">
        <f aca="true" t="array" ref="J838">MATCH(TRUE,ISBLANK(G838:G861),0)</f>
        <v>7</v>
      </c>
      <c r="K838" s="106">
        <f>J838-3</f>
        <v>4</v>
      </c>
      <c r="L838" s="106"/>
      <c r="M838" s="106"/>
      <c r="N838" s="106"/>
      <c r="O838" s="106"/>
      <c r="P838" s="106"/>
      <c r="Q838" s="106"/>
      <c r="R838" s="106"/>
    </row>
    <row r="839" spans="1:18" ht="15" customHeight="1">
      <c r="A839" s="320" t="s">
        <v>115</v>
      </c>
      <c r="B839" s="320"/>
      <c r="C839" s="344" t="s">
        <v>136</v>
      </c>
      <c r="D839" s="41" t="s">
        <v>23</v>
      </c>
      <c r="E839" s="47">
        <v>0.642</v>
      </c>
      <c r="F839" s="98"/>
      <c r="G839" s="98" t="str">
        <f>CONCATENATE(D839," - ",E839,", ")</f>
        <v>Brass scrap - 0.642, </v>
      </c>
      <c r="H839" s="355"/>
      <c r="I839" s="106" t="str">
        <f ca="1">IF(J838&gt;=3,(MID(I838,2,1)&amp;MID(I838,4,4)-K838),CELL("address",Z839))</f>
        <v>G840</v>
      </c>
      <c r="J839" s="106" t="str">
        <f ca="1">IF(J838&gt;=4,(MID(I839,1,1)&amp;MID(I839,2,4)+1),CELL("address",AA839))</f>
        <v>G841</v>
      </c>
      <c r="K839" s="106" t="str">
        <f ca="1">IF(J838&gt;=5,(MID(J839,1,1)&amp;MID(J839,2,4)+1),CELL("address",AB839))</f>
        <v>G842</v>
      </c>
      <c r="L839" s="106" t="str">
        <f ca="1">IF(J838&gt;=6,(MID(K839,1,1)&amp;MID(K839,2,4)+1),CELL("address",AC839))</f>
        <v>G843</v>
      </c>
      <c r="M839" s="106" t="str">
        <f ca="1">IF(J838&gt;=7,(MID(L839,1,1)&amp;MID(L839,2,4)+1),CELL("address",AD839))</f>
        <v>G844</v>
      </c>
      <c r="N839" s="106" t="str">
        <f ca="1">IF(J838&gt;=8,(MID(M839,1,1)&amp;MID(M839,2,4)+1),CELL("address",AE839))</f>
        <v>$AE$839</v>
      </c>
      <c r="O839" s="106" t="str">
        <f ca="1">IF(J838&gt;=9,(MID(N839,1,1)&amp;MID(N839,2,4)+1),CELL("address",AF839))</f>
        <v>$AF$839</v>
      </c>
      <c r="P839" s="106" t="str">
        <f ca="1">IF(J838&gt;=10,(MID(O839,1,1)&amp;MID(O839,2,4)+1),CELL("address",AG839))</f>
        <v>$AG$839</v>
      </c>
      <c r="Q839" s="106" t="str">
        <f ca="1">IF(J838&gt;=11,(MID(P839,1,1)&amp;MID(P839,2,4)+1),CELL("address",AH839))</f>
        <v>$AH$839</v>
      </c>
      <c r="R839" s="106" t="str">
        <f ca="1">IF(J838&gt;=12,(MID(Q839,1,1)&amp;MID(Q839,2,4)+1),CELL("address",AI839))</f>
        <v>$AI$839</v>
      </c>
    </row>
    <row r="840" spans="1:8" ht="15" customHeight="1">
      <c r="A840" s="320"/>
      <c r="B840" s="320"/>
      <c r="C840" s="345"/>
      <c r="D840" s="41" t="s">
        <v>24</v>
      </c>
      <c r="E840" s="47">
        <v>0.071</v>
      </c>
      <c r="F840" s="98"/>
      <c r="G840" s="98" t="str">
        <f>CONCATENATE(D840," - ",E840,", ")</f>
        <v>Misc. Aluminium scrap - 0.071, </v>
      </c>
      <c r="H840" s="110"/>
    </row>
    <row r="841" spans="1:8" ht="15" customHeight="1">
      <c r="A841" s="320"/>
      <c r="B841" s="320"/>
      <c r="C841" s="345"/>
      <c r="D841" s="41" t="s">
        <v>37</v>
      </c>
      <c r="E841" s="47">
        <v>0.028</v>
      </c>
      <c r="F841" s="98"/>
      <c r="G841" s="98" t="str">
        <f>CONCATENATE(D841," - ",E841,", ")</f>
        <v>Burnt Cu scrap - 0.028, </v>
      </c>
      <c r="H841" s="110"/>
    </row>
    <row r="842" spans="1:8" ht="15" customHeight="1">
      <c r="A842" s="320"/>
      <c r="B842" s="320"/>
      <c r="C842" s="345"/>
      <c r="D842" s="46" t="s">
        <v>147</v>
      </c>
      <c r="E842" s="47">
        <v>0.6</v>
      </c>
      <c r="F842" s="98"/>
      <c r="G842" s="98" t="str">
        <f>CONCATENATE(D842," - ",E842,", ")</f>
        <v>Ms Nuts &amp; Bolts - 0.6, </v>
      </c>
      <c r="H842" s="110"/>
    </row>
    <row r="843" spans="1:8" ht="15" customHeight="1">
      <c r="A843" s="320"/>
      <c r="B843" s="320"/>
      <c r="C843" s="346"/>
      <c r="D843" s="41" t="s">
        <v>27</v>
      </c>
      <c r="E843" s="47">
        <v>0.091</v>
      </c>
      <c r="F843" s="98"/>
      <c r="G843" s="98" t="str">
        <f>CONCATENATE(D843," - ",E843,", ")</f>
        <v>Iron scrap - 0.091, </v>
      </c>
      <c r="H843" s="110"/>
    </row>
    <row r="844" spans="1:8" ht="15" customHeight="1">
      <c r="A844" s="51"/>
      <c r="B844" s="60"/>
      <c r="C844" s="297"/>
      <c r="D844" s="46"/>
      <c r="E844" s="47"/>
      <c r="F844" s="98"/>
      <c r="G844" s="98"/>
      <c r="H844" s="110"/>
    </row>
    <row r="845" spans="1:8" ht="15" customHeight="1">
      <c r="A845" s="332"/>
      <c r="B845" s="333"/>
      <c r="C845" s="67"/>
      <c r="D845" s="67"/>
      <c r="E845" s="68">
        <f>SUM(E847:E848)</f>
        <v>0.8340000000000001</v>
      </c>
      <c r="F845" s="98"/>
      <c r="G845" s="98"/>
      <c r="H845" s="110"/>
    </row>
    <row r="846" spans="1:18" ht="15" customHeight="1">
      <c r="A846" s="320" t="s">
        <v>5</v>
      </c>
      <c r="B846" s="320"/>
      <c r="C846" s="65" t="s">
        <v>17</v>
      </c>
      <c r="D846" s="66" t="s">
        <v>18</v>
      </c>
      <c r="E846" s="65" t="s">
        <v>7</v>
      </c>
      <c r="F846" s="98"/>
      <c r="G846" s="99" t="str">
        <f>CONCATENATE("Misc. Healthy parts/ Non Ferrous  Scrap, Lying at ",C847,". Quantity in MT - ")</f>
        <v>Misc. Healthy parts/ Non Ferrous  Scrap, Lying at TRY Patran. Quantity in MT - </v>
      </c>
      <c r="H846" s="355" t="str">
        <f ca="1">CONCATENATE(G846,G847,(INDIRECT(I847)),(INDIRECT(J847)),(INDIRECT(K847)),(INDIRECT(L847)),(INDIRECT(M847)),(INDIRECT(N847)),(INDIRECT(O847)),(INDIRECT(P847)),(INDIRECT(Q847)),(INDIRECT(R847)),".")</f>
        <v>Misc. Healthy parts/ Non Ferrous  Scrap, Lying at TRY Patran. Quantity in MT - Brass scrap - 0.783, Misc. Alumn. Scrap - 0.051, .</v>
      </c>
      <c r="I846" s="106" t="str">
        <f aca="true" ca="1" t="array" ref="I846">CELL("address",INDEX(G846:G863,MATCH(TRUE,ISBLANK(G846:G863),0)))</f>
        <v>$G$849</v>
      </c>
      <c r="J846" s="106">
        <f aca="true" t="array" ref="J846">MATCH(TRUE,ISBLANK(G846:G863),0)</f>
        <v>4</v>
      </c>
      <c r="K846" s="106">
        <f>J846-3</f>
        <v>1</v>
      </c>
      <c r="L846" s="106"/>
      <c r="M846" s="106"/>
      <c r="N846" s="106"/>
      <c r="O846" s="106"/>
      <c r="P846" s="106"/>
      <c r="Q846" s="106"/>
      <c r="R846" s="106"/>
    </row>
    <row r="847" spans="1:18" ht="15" customHeight="1">
      <c r="A847" s="320" t="s">
        <v>117</v>
      </c>
      <c r="B847" s="320"/>
      <c r="C847" s="321" t="s">
        <v>136</v>
      </c>
      <c r="D847" s="46" t="s">
        <v>23</v>
      </c>
      <c r="E847" s="46">
        <v>0.783</v>
      </c>
      <c r="F847" s="98"/>
      <c r="G847" s="98" t="str">
        <f>CONCATENATE(D847," - ",E847,", ")</f>
        <v>Brass scrap - 0.783, </v>
      </c>
      <c r="H847" s="355"/>
      <c r="I847" s="106" t="str">
        <f ca="1">IF(J846&gt;=3,(MID(I846,2,1)&amp;MID(I846,4,4)-K846),CELL("address",Z847))</f>
        <v>G848</v>
      </c>
      <c r="J847" s="106" t="str">
        <f ca="1">IF(J846&gt;=4,(MID(I847,1,1)&amp;MID(I847,2,4)+1),CELL("address",AA847))</f>
        <v>G849</v>
      </c>
      <c r="K847" s="106" t="str">
        <f ca="1">IF(J846&gt;=5,(MID(J847,1,1)&amp;MID(J847,2,4)+1),CELL("address",AB847))</f>
        <v>$AB$847</v>
      </c>
      <c r="L847" s="106" t="str">
        <f ca="1">IF(J846&gt;=6,(MID(K847,1,1)&amp;MID(K847,2,4)+1),CELL("address",AC847))</f>
        <v>$AC$847</v>
      </c>
      <c r="M847" s="106" t="str">
        <f ca="1">IF(J846&gt;=7,(MID(L847,1,1)&amp;MID(L847,2,4)+1),CELL("address",AD847))</f>
        <v>$AD$847</v>
      </c>
      <c r="N847" s="106" t="str">
        <f ca="1">IF(J846&gt;=8,(MID(M847,1,1)&amp;MID(M847,2,4)+1),CELL("address",AE847))</f>
        <v>$AE$847</v>
      </c>
      <c r="O847" s="106" t="str">
        <f ca="1">IF(J846&gt;=9,(MID(N847,1,1)&amp;MID(N847,2,4)+1),CELL("address",AF847))</f>
        <v>$AF$847</v>
      </c>
      <c r="P847" s="106" t="str">
        <f ca="1">IF(J846&gt;=10,(MID(O847,1,1)&amp;MID(O847,2,4)+1),CELL("address",AG847))</f>
        <v>$AG$847</v>
      </c>
      <c r="Q847" s="106" t="str">
        <f ca="1">IF(J846&gt;=11,(MID(P847,1,1)&amp;MID(P847,2,4)+1),CELL("address",AH847))</f>
        <v>$AH$847</v>
      </c>
      <c r="R847" s="106" t="str">
        <f ca="1">IF(J846&gt;=12,(MID(Q847,1,1)&amp;MID(Q847,2,4)+1),CELL("address",AI847))</f>
        <v>$AI$847</v>
      </c>
    </row>
    <row r="848" spans="1:8" ht="15" customHeight="1">
      <c r="A848" s="320"/>
      <c r="B848" s="320"/>
      <c r="C848" s="321"/>
      <c r="D848" s="46" t="s">
        <v>31</v>
      </c>
      <c r="E848" s="65">
        <v>0.051</v>
      </c>
      <c r="F848" s="98"/>
      <c r="G848" s="98" t="str">
        <f>CONCATENATE(D848," - ",E848,", ")</f>
        <v>Misc. Alumn. Scrap - 0.051, </v>
      </c>
      <c r="H848" s="110"/>
    </row>
    <row r="849" spans="1:8" ht="15" customHeight="1">
      <c r="A849" s="36"/>
      <c r="F849" s="98"/>
      <c r="G849" s="98"/>
      <c r="H849" s="110"/>
    </row>
    <row r="850" spans="1:8" ht="15" customHeight="1">
      <c r="A850" s="332"/>
      <c r="B850" s="333"/>
      <c r="C850" s="67"/>
      <c r="D850" s="67"/>
      <c r="E850" s="68">
        <f>SUM(E852:E853)</f>
        <v>2.17</v>
      </c>
      <c r="F850" s="98"/>
      <c r="G850" s="98"/>
      <c r="H850" s="110"/>
    </row>
    <row r="851" spans="1:18" ht="15" customHeight="1">
      <c r="A851" s="320" t="s">
        <v>5</v>
      </c>
      <c r="B851" s="320"/>
      <c r="C851" s="65" t="s">
        <v>17</v>
      </c>
      <c r="D851" s="66" t="s">
        <v>18</v>
      </c>
      <c r="E851" s="65" t="s">
        <v>7</v>
      </c>
      <c r="F851" s="98"/>
      <c r="G851" s="99" t="str">
        <f>CONCATENATE("Misc. Healthy parts/ Non Ferrous  Scrap, Lying at ",C852,". Quantity in MT - ")</f>
        <v>Misc. Healthy parts/ Non Ferrous  Scrap, Lying at TRY Ropar. Quantity in MT - </v>
      </c>
      <c r="H851" s="355" t="str">
        <f ca="1">CONCATENATE(G851,G852,(INDIRECT(I852)),(INDIRECT(J852)),(INDIRECT(K852)),(INDIRECT(L852)),(INDIRECT(M852)),(INDIRECT(N852)),(INDIRECT(O852)),(INDIRECT(P852)),(INDIRECT(Q852)),(INDIRECT(R852)),".")</f>
        <v>Misc. Healthy parts/ Non Ferrous  Scrap, Lying at TRY Ropar. Quantity in MT - Brass scrap - 2.007, Misc. Alumn. Scrap - 0.163, .</v>
      </c>
      <c r="I851" s="106" t="str">
        <f aca="true" ca="1" t="array" ref="I851">CELL("address",INDEX(G851:G864,MATCH(TRUE,ISBLANK(G851:G864),0)))</f>
        <v>$G$854</v>
      </c>
      <c r="J851" s="106">
        <f aca="true" t="array" ref="J851">MATCH(TRUE,ISBLANK(G851:G864),0)</f>
        <v>4</v>
      </c>
      <c r="K851" s="106">
        <f>J851-3</f>
        <v>1</v>
      </c>
      <c r="L851" s="106"/>
      <c r="M851" s="106"/>
      <c r="N851" s="106"/>
      <c r="O851" s="106"/>
      <c r="P851" s="106"/>
      <c r="Q851" s="106"/>
      <c r="R851" s="106"/>
    </row>
    <row r="852" spans="1:18" ht="15" customHeight="1">
      <c r="A852" s="320" t="s">
        <v>118</v>
      </c>
      <c r="B852" s="320"/>
      <c r="C852" s="321" t="s">
        <v>143</v>
      </c>
      <c r="D852" s="46" t="s">
        <v>23</v>
      </c>
      <c r="E852" s="46">
        <v>2.007</v>
      </c>
      <c r="F852" s="98"/>
      <c r="G852" s="98" t="str">
        <f>CONCATENATE(D852," - ",E852,", ")</f>
        <v>Brass scrap - 2.007, </v>
      </c>
      <c r="H852" s="355"/>
      <c r="I852" s="106" t="str">
        <f ca="1">IF(J851&gt;=3,(MID(I851,2,1)&amp;MID(I851,4,4)-K851),CELL("address",Z852))</f>
        <v>G853</v>
      </c>
      <c r="J852" s="106" t="str">
        <f ca="1">IF(J851&gt;=4,(MID(I852,1,1)&amp;MID(I852,2,4)+1),CELL("address",AA852))</f>
        <v>G854</v>
      </c>
      <c r="K852" s="106" t="str">
        <f ca="1">IF(J851&gt;=5,(MID(J852,1,1)&amp;MID(J852,2,4)+1),CELL("address",AB852))</f>
        <v>$AB$852</v>
      </c>
      <c r="L852" s="106" t="str">
        <f ca="1">IF(J851&gt;=6,(MID(K852,1,1)&amp;MID(K852,2,4)+1),CELL("address",AC852))</f>
        <v>$AC$852</v>
      </c>
      <c r="M852" s="106" t="str">
        <f ca="1">IF(J851&gt;=7,(MID(L852,1,1)&amp;MID(L852,2,4)+1),CELL("address",AD852))</f>
        <v>$AD$852</v>
      </c>
      <c r="N852" s="106" t="str">
        <f ca="1">IF(J851&gt;=8,(MID(M852,1,1)&amp;MID(M852,2,4)+1),CELL("address",AE852))</f>
        <v>$AE$852</v>
      </c>
      <c r="O852" s="106" t="str">
        <f ca="1">IF(J851&gt;=9,(MID(N852,1,1)&amp;MID(N852,2,4)+1),CELL("address",AF852))</f>
        <v>$AF$852</v>
      </c>
      <c r="P852" s="106" t="str">
        <f ca="1">IF(J851&gt;=10,(MID(O852,1,1)&amp;MID(O852,2,4)+1),CELL("address",AG852))</f>
        <v>$AG$852</v>
      </c>
      <c r="Q852" s="106" t="str">
        <f ca="1">IF(J851&gt;=11,(MID(P852,1,1)&amp;MID(P852,2,4)+1),CELL("address",AH852))</f>
        <v>$AH$852</v>
      </c>
      <c r="R852" s="106" t="str">
        <f ca="1">IF(J851&gt;=12,(MID(Q852,1,1)&amp;MID(Q852,2,4)+1),CELL("address",AI852))</f>
        <v>$AI$852</v>
      </c>
    </row>
    <row r="853" spans="1:8" ht="15" customHeight="1">
      <c r="A853" s="320"/>
      <c r="B853" s="320"/>
      <c r="C853" s="321"/>
      <c r="D853" s="46" t="s">
        <v>31</v>
      </c>
      <c r="E853" s="65">
        <v>0.163</v>
      </c>
      <c r="F853" s="98"/>
      <c r="G853" s="98" t="str">
        <f>CONCATENATE(D853," - ",E853,", ")</f>
        <v>Misc. Alumn. Scrap - 0.163, </v>
      </c>
      <c r="H853" s="110"/>
    </row>
    <row r="854" spans="1:8" ht="15" customHeight="1">
      <c r="A854" s="52"/>
      <c r="B854" s="55"/>
      <c r="C854" s="20"/>
      <c r="D854" s="84"/>
      <c r="E854" s="83"/>
      <c r="F854" s="98"/>
      <c r="G854" s="98"/>
      <c r="H854" s="110"/>
    </row>
    <row r="855" spans="1:8" ht="15" customHeight="1">
      <c r="A855" s="332"/>
      <c r="B855" s="333"/>
      <c r="C855" s="67"/>
      <c r="D855" s="67"/>
      <c r="E855" s="68">
        <f>SUM(E857:E862)</f>
        <v>1.9550000000000003</v>
      </c>
      <c r="F855" s="98"/>
      <c r="G855" s="98"/>
      <c r="H855" s="110"/>
    </row>
    <row r="856" spans="1:18" ht="15" customHeight="1">
      <c r="A856" s="320" t="s">
        <v>5</v>
      </c>
      <c r="B856" s="320"/>
      <c r="C856" s="65" t="s">
        <v>17</v>
      </c>
      <c r="D856" s="66" t="s">
        <v>18</v>
      </c>
      <c r="E856" s="65" t="s">
        <v>7</v>
      </c>
      <c r="F856" s="98"/>
      <c r="G856" s="99" t="str">
        <f>CONCATENATE("Misc. Healthy parts/ Non Ferrous  Scrap, Lying at ",C857,". Quantity in MT - ")</f>
        <v>Misc. Healthy parts/ Non Ferrous  Scrap, Lying at TRY Patiala. Quantity in MT - </v>
      </c>
      <c r="H856" s="355" t="str">
        <f ca="1">CONCATENATE(G856,G857,(INDIRECT(I857)),(INDIRECT(J857)),(INDIRECT(K857)),(INDIRECT(L857)),(INDIRECT(M857)),(INDIRECT(N857)),(INDIRECT(O857)),(INDIRECT(P857)),(INDIRECT(Q857)),(INDIRECT(R857)),".")</f>
        <v>Misc. Healthy parts/ Non Ferrous  Scrap, Lying at TRY Patiala. Quantity in MT - Brass scrap - 0.767, Misc. Alumn. Scrap - 0.069, Burnt Cu scrap - 0.055, Nuts &amp; Bolts scrap - 0.87, Teen Patra scrap - 0.136, M.S Iron scrap - 0.058, .</v>
      </c>
      <c r="I856" s="106" t="str">
        <f aca="true" ca="1" t="array" ref="I856">CELL("address",INDEX(G856:G869,MATCH(TRUE,ISBLANK(G856:G869),0)))</f>
        <v>$G$863</v>
      </c>
      <c r="J856" s="106">
        <f aca="true" t="array" ref="J856">MATCH(TRUE,ISBLANK(G856:G869),0)</f>
        <v>8</v>
      </c>
      <c r="K856" s="106">
        <f>J856-3</f>
        <v>5</v>
      </c>
      <c r="L856" s="106"/>
      <c r="M856" s="106"/>
      <c r="N856" s="106"/>
      <c r="O856" s="106"/>
      <c r="P856" s="106"/>
      <c r="Q856" s="106"/>
      <c r="R856" s="106"/>
    </row>
    <row r="857" spans="1:18" ht="15" customHeight="1">
      <c r="A857" s="320" t="s">
        <v>125</v>
      </c>
      <c r="B857" s="320"/>
      <c r="C857" s="321" t="s">
        <v>120</v>
      </c>
      <c r="D857" s="35" t="s">
        <v>23</v>
      </c>
      <c r="E857" s="50">
        <v>0.767</v>
      </c>
      <c r="F857" s="98">
        <v>0.46</v>
      </c>
      <c r="G857" s="98" t="str">
        <f aca="true" t="shared" si="7" ref="G857:G862">CONCATENATE(D857," - ",E857,", ")</f>
        <v>Brass scrap - 0.767, </v>
      </c>
      <c r="H857" s="355"/>
      <c r="I857" s="106" t="str">
        <f ca="1">IF(J856&gt;=3,(MID(I856,2,1)&amp;MID(I856,4,4)-K856),CELL("address",Z857))</f>
        <v>G858</v>
      </c>
      <c r="J857" s="106" t="str">
        <f ca="1">IF(J856&gt;=4,(MID(I857,1,1)&amp;MID(I857,2,4)+1),CELL("address",AA857))</f>
        <v>G859</v>
      </c>
      <c r="K857" s="106" t="str">
        <f ca="1">IF(J856&gt;=5,(MID(J857,1,1)&amp;MID(J857,2,4)+1),CELL("address",AB857))</f>
        <v>G860</v>
      </c>
      <c r="L857" s="106" t="str">
        <f ca="1">IF(J856&gt;=6,(MID(K857,1,1)&amp;MID(K857,2,4)+1),CELL("address",AC857))</f>
        <v>G861</v>
      </c>
      <c r="M857" s="106" t="str">
        <f ca="1">IF(J856&gt;=7,(MID(L857,1,1)&amp;MID(L857,2,4)+1),CELL("address",AD857))</f>
        <v>G862</v>
      </c>
      <c r="N857" s="106" t="str">
        <f ca="1">IF(J856&gt;=8,(MID(M857,1,1)&amp;MID(M857,2,4)+1),CELL("address",AE857))</f>
        <v>G863</v>
      </c>
      <c r="O857" s="106" t="str">
        <f ca="1">IF(J856&gt;=9,(MID(N857,1,1)&amp;MID(N857,2,4)+1),CELL("address",AF857))</f>
        <v>$AF$857</v>
      </c>
      <c r="P857" s="106" t="str">
        <f ca="1">IF(J856&gt;=10,(MID(O857,1,1)&amp;MID(O857,2,4)+1),CELL("address",AG857))</f>
        <v>$AG$857</v>
      </c>
      <c r="Q857" s="106" t="str">
        <f ca="1">IF(J856&gt;=11,(MID(P857,1,1)&amp;MID(P857,2,4)+1),CELL("address",AH857))</f>
        <v>$AH$857</v>
      </c>
      <c r="R857" s="106" t="str">
        <f ca="1">IF(J856&gt;=12,(MID(Q857,1,1)&amp;MID(Q857,2,4)+1),CELL("address",AI857))</f>
        <v>$AI$857</v>
      </c>
    </row>
    <row r="858" spans="1:8" ht="15" customHeight="1">
      <c r="A858" s="320"/>
      <c r="B858" s="320"/>
      <c r="C858" s="321"/>
      <c r="D858" s="35" t="s">
        <v>31</v>
      </c>
      <c r="E858" s="232">
        <v>0.069</v>
      </c>
      <c r="F858" s="98">
        <v>0.043</v>
      </c>
      <c r="G858" s="98" t="str">
        <f t="shared" si="7"/>
        <v>Misc. Alumn. Scrap - 0.069, </v>
      </c>
      <c r="H858" s="110"/>
    </row>
    <row r="859" spans="1:8" ht="15" customHeight="1">
      <c r="A859" s="320"/>
      <c r="B859" s="320"/>
      <c r="C859" s="321"/>
      <c r="D859" s="292" t="s">
        <v>37</v>
      </c>
      <c r="E859" s="286">
        <v>0.055</v>
      </c>
      <c r="F859" s="98">
        <v>0.033</v>
      </c>
      <c r="G859" s="98" t="str">
        <f t="shared" si="7"/>
        <v>Burnt Cu scrap - 0.055, </v>
      </c>
      <c r="H859" s="110"/>
    </row>
    <row r="860" spans="1:8" ht="15" customHeight="1">
      <c r="A860" s="320"/>
      <c r="B860" s="320"/>
      <c r="C860" s="321"/>
      <c r="D860" s="292" t="s">
        <v>58</v>
      </c>
      <c r="E860" s="286">
        <v>0.87</v>
      </c>
      <c r="F860" s="98">
        <v>0.52</v>
      </c>
      <c r="G860" s="98" t="str">
        <f t="shared" si="7"/>
        <v>Nuts &amp; Bolts scrap - 0.87, </v>
      </c>
      <c r="H860" s="110"/>
    </row>
    <row r="861" spans="1:8" ht="15" customHeight="1">
      <c r="A861" s="320"/>
      <c r="B861" s="320"/>
      <c r="C861" s="321"/>
      <c r="D861" s="292" t="s">
        <v>64</v>
      </c>
      <c r="E861" s="286">
        <v>0.136</v>
      </c>
      <c r="F861" s="98">
        <v>0.076</v>
      </c>
      <c r="G861" s="98" t="str">
        <f t="shared" si="7"/>
        <v>Teen Patra scrap - 0.136, </v>
      </c>
      <c r="H861" s="110"/>
    </row>
    <row r="862" spans="1:8" ht="15" customHeight="1">
      <c r="A862" s="320"/>
      <c r="B862" s="320"/>
      <c r="C862" s="321"/>
      <c r="D862" s="292" t="s">
        <v>550</v>
      </c>
      <c r="E862" s="286">
        <v>0.058</v>
      </c>
      <c r="F862" s="98" t="s">
        <v>243</v>
      </c>
      <c r="G862" s="98" t="str">
        <f t="shared" si="7"/>
        <v>M.S Iron scrap - 0.058, </v>
      </c>
      <c r="H862" s="110"/>
    </row>
    <row r="863" spans="1:8" ht="15" customHeight="1">
      <c r="A863" s="36"/>
      <c r="B863" s="1"/>
      <c r="C863" s="1"/>
      <c r="D863" s="1"/>
      <c r="E863" s="1"/>
      <c r="F863" s="98"/>
      <c r="G863" s="98"/>
      <c r="H863" s="110"/>
    </row>
    <row r="864" spans="1:8" ht="15" customHeight="1">
      <c r="A864" s="332"/>
      <c r="B864" s="333"/>
      <c r="C864" s="67"/>
      <c r="D864" s="67"/>
      <c r="E864" s="68">
        <f>SUM(E866:E866)</f>
        <v>0.011</v>
      </c>
      <c r="F864" s="98"/>
      <c r="G864" s="98"/>
      <c r="H864" s="110"/>
    </row>
    <row r="865" spans="1:18" ht="15" customHeight="1">
      <c r="A865" s="320" t="s">
        <v>5</v>
      </c>
      <c r="B865" s="320"/>
      <c r="C865" s="65" t="s">
        <v>17</v>
      </c>
      <c r="D865" s="66" t="s">
        <v>18</v>
      </c>
      <c r="E865" s="65" t="s">
        <v>7</v>
      </c>
      <c r="F865" s="98"/>
      <c r="G865" s="99" t="str">
        <f>CONCATENATE("Misc. Healthy parts/ Non Ferrous  Scrap, Lying at ",C866,". Quantity in MT - ")</f>
        <v>Misc. Healthy parts/ Non Ferrous  Scrap, Lying at CS Malout. Quantity in MT - </v>
      </c>
      <c r="H865" s="137" t="str">
        <f ca="1">CONCATENATE(G865,G866,(INDIRECT(I866)),(INDIRECT(J866)),(INDIRECT(K866)),(INDIRECT(L866)),(INDIRECT(M866)),(INDIRECT(N866)),(INDIRECT(O866)),(INDIRECT(P866)),(INDIRECT(Q866)),(INDIRECT(R866)),".")</f>
        <v>Misc. Healthy parts/ Non Ferrous  Scrap, Lying at CS Malout. Quantity in MT - Brass scrap - 0.011, .</v>
      </c>
      <c r="I865" s="106" t="str">
        <f aca="true" ca="1" t="array" ref="I865">CELL("address",INDEX(G865:G887,MATCH(TRUE,ISBLANK(G865:G887),0)))</f>
        <v>$G$867</v>
      </c>
      <c r="J865" s="106">
        <f aca="true" t="array" ref="J865">MATCH(TRUE,ISBLANK(G865:G887),0)</f>
        <v>3</v>
      </c>
      <c r="K865" s="106">
        <f>J865-3</f>
        <v>0</v>
      </c>
      <c r="L865" s="106"/>
      <c r="M865" s="106"/>
      <c r="N865" s="106"/>
      <c r="O865" s="106"/>
      <c r="P865" s="106"/>
      <c r="Q865" s="106"/>
      <c r="R865" s="106"/>
    </row>
    <row r="866" spans="1:18" ht="15" customHeight="1">
      <c r="A866" s="320" t="s">
        <v>133</v>
      </c>
      <c r="B866" s="320"/>
      <c r="C866" s="290" t="s">
        <v>95</v>
      </c>
      <c r="D866" s="46" t="s">
        <v>23</v>
      </c>
      <c r="E866" s="48">
        <v>0.011</v>
      </c>
      <c r="F866" s="98"/>
      <c r="G866" s="98" t="str">
        <f>CONCATENATE(D866," - ",E866,", ")</f>
        <v>Brass scrap - 0.011, </v>
      </c>
      <c r="H866" s="137"/>
      <c r="I866" s="106" t="str">
        <f ca="1">IF(J865&gt;=3,(MID(I865,2,1)&amp;MID(I865,4,4)-K865),CELL("address",Z866))</f>
        <v>G867</v>
      </c>
      <c r="J866" s="106" t="str">
        <f ca="1">IF(J865&gt;=4,(MID(I866,1,1)&amp;MID(I866,2,4)+1),CELL("address",AA866))</f>
        <v>$AA$866</v>
      </c>
      <c r="K866" s="106" t="str">
        <f ca="1">IF(J865&gt;=5,(MID(J866,1,1)&amp;MID(J866,2,4)+1),CELL("address",AB866))</f>
        <v>$AB$866</v>
      </c>
      <c r="L866" s="106" t="str">
        <f ca="1">IF(J865&gt;=6,(MID(K866,1,1)&amp;MID(K866,2,4)+1),CELL("address",AC866))</f>
        <v>$AC$866</v>
      </c>
      <c r="M866" s="106" t="str">
        <f ca="1">IF(J865&gt;=7,(MID(L866,1,1)&amp;MID(L866,2,4)+1),CELL("address",AD866))</f>
        <v>$AD$866</v>
      </c>
      <c r="N866" s="106" t="str">
        <f ca="1">IF(J865&gt;=8,(MID(M866,1,1)&amp;MID(M866,2,4)+1),CELL("address",AE866))</f>
        <v>$AE$866</v>
      </c>
      <c r="O866" s="106" t="str">
        <f ca="1">IF(J865&gt;=9,(MID(N866,1,1)&amp;MID(N866,2,4)+1),CELL("address",AF866))</f>
        <v>$AF$866</v>
      </c>
      <c r="P866" s="106" t="str">
        <f ca="1">IF(J865&gt;=10,(MID(O866,1,1)&amp;MID(O866,2,4)+1),CELL("address",AG866))</f>
        <v>$AG$866</v>
      </c>
      <c r="Q866" s="106" t="str">
        <f ca="1">IF(J865&gt;=11,(MID(P866,1,1)&amp;MID(P866,2,4)+1),CELL("address",AH866))</f>
        <v>$AH$866</v>
      </c>
      <c r="R866" s="106" t="str">
        <f ca="1">IF(J865&gt;=12,(MID(Q866,1,1)&amp;MID(Q866,2,4)+1),CELL("address",AI866))</f>
        <v>$AI$866</v>
      </c>
    </row>
    <row r="867" spans="1:8" ht="15" customHeight="1">
      <c r="A867" s="414"/>
      <c r="B867" s="415"/>
      <c r="C867" s="98"/>
      <c r="D867" s="98"/>
      <c r="E867" s="98"/>
      <c r="F867" s="98"/>
      <c r="G867" s="98"/>
      <c r="H867" s="110"/>
    </row>
    <row r="868" spans="1:8" ht="15" customHeight="1">
      <c r="A868" s="332"/>
      <c r="B868" s="333"/>
      <c r="C868" s="67"/>
      <c r="D868" s="67"/>
      <c r="E868" s="68">
        <f>SUM(E870:E870)</f>
        <v>1</v>
      </c>
      <c r="F868" s="98"/>
      <c r="G868" s="98"/>
      <c r="H868" s="110"/>
    </row>
    <row r="869" spans="1:18" ht="15" customHeight="1">
      <c r="A869" s="320" t="s">
        <v>5</v>
      </c>
      <c r="B869" s="320"/>
      <c r="C869" s="65" t="s">
        <v>17</v>
      </c>
      <c r="D869" s="66" t="s">
        <v>18</v>
      </c>
      <c r="E869" s="65" t="s">
        <v>7</v>
      </c>
      <c r="F869" s="98"/>
      <c r="G869" s="99" t="str">
        <f>CONCATENATE("Misc. Healthy parts/ Non Ferrous  Scrap, Lying at ",C870,". Quantity in MT - ")</f>
        <v>Misc. Healthy parts/ Non Ferrous  Scrap, Lying at TRY Bathinda. Quantity in MT - </v>
      </c>
      <c r="H869" s="137" t="str">
        <f ca="1">CONCATENATE(G869,G870,(INDIRECT(I870)),(INDIRECT(J870)),(INDIRECT(K870)),(INDIRECT(L870)),(INDIRECT(M870)),(INDIRECT(N870)),(INDIRECT(O870)),(INDIRECT(P870)),(INDIRECT(Q870)),(INDIRECT(R870)),".")</f>
        <v>Misc. Healthy parts/ Non Ferrous  Scrap, Lying at TRY Bathinda. Quantity in MT - Brass scrap - 1, .</v>
      </c>
      <c r="I869" s="106" t="str">
        <f aca="true" ca="1" t="array" ref="I869">CELL("address",INDEX(G869:G891,MATCH(TRUE,ISBLANK(G869:G891),0)))</f>
        <v>$G$871</v>
      </c>
      <c r="J869" s="106">
        <f aca="true" t="array" ref="J869">MATCH(TRUE,ISBLANK(G869:G891),0)</f>
        <v>3</v>
      </c>
      <c r="K869" s="106">
        <f>J869-3</f>
        <v>0</v>
      </c>
      <c r="L869" s="106"/>
      <c r="M869" s="106"/>
      <c r="N869" s="106"/>
      <c r="O869" s="106"/>
      <c r="P869" s="106"/>
      <c r="Q869" s="106"/>
      <c r="R869" s="106"/>
    </row>
    <row r="870" spans="1:18" ht="15" customHeight="1">
      <c r="A870" s="320" t="s">
        <v>134</v>
      </c>
      <c r="B870" s="320"/>
      <c r="C870" s="290" t="s">
        <v>36</v>
      </c>
      <c r="D870" s="41" t="s">
        <v>23</v>
      </c>
      <c r="E870" s="47">
        <v>1</v>
      </c>
      <c r="F870" s="98"/>
      <c r="G870" s="98" t="str">
        <f>CONCATENATE(D870," - ",E870,", ")</f>
        <v>Brass scrap - 1, </v>
      </c>
      <c r="H870" s="137"/>
      <c r="I870" s="106" t="str">
        <f ca="1">IF(J869&gt;=3,(MID(I869,2,1)&amp;MID(I869,4,4)-K869),CELL("address",Z870))</f>
        <v>G871</v>
      </c>
      <c r="J870" s="106" t="str">
        <f ca="1">IF(J869&gt;=4,(MID(I870,1,1)&amp;MID(I870,2,4)+1),CELL("address",AA870))</f>
        <v>$AA$870</v>
      </c>
      <c r="K870" s="106" t="str">
        <f ca="1">IF(J869&gt;=5,(MID(J870,1,1)&amp;MID(J870,2,4)+1),CELL("address",AB870))</f>
        <v>$AB$870</v>
      </c>
      <c r="L870" s="106" t="str">
        <f ca="1">IF(J869&gt;=6,(MID(K870,1,1)&amp;MID(K870,2,4)+1),CELL("address",AC870))</f>
        <v>$AC$870</v>
      </c>
      <c r="M870" s="106" t="str">
        <f ca="1">IF(J869&gt;=7,(MID(L870,1,1)&amp;MID(L870,2,4)+1),CELL("address",AD870))</f>
        <v>$AD$870</v>
      </c>
      <c r="N870" s="106" t="str">
        <f ca="1">IF(J869&gt;=8,(MID(M870,1,1)&amp;MID(M870,2,4)+1),CELL("address",AE870))</f>
        <v>$AE$870</v>
      </c>
      <c r="O870" s="106" t="str">
        <f ca="1">IF(J869&gt;=9,(MID(N870,1,1)&amp;MID(N870,2,4)+1),CELL("address",AF870))</f>
        <v>$AF$870</v>
      </c>
      <c r="P870" s="106" t="str">
        <f ca="1">IF(J869&gt;=10,(MID(O870,1,1)&amp;MID(O870,2,4)+1),CELL("address",AG870))</f>
        <v>$AG$870</v>
      </c>
      <c r="Q870" s="106" t="str">
        <f ca="1">IF(J869&gt;=11,(MID(P870,1,1)&amp;MID(P870,2,4)+1),CELL("address",AH870))</f>
        <v>$AH$870</v>
      </c>
      <c r="R870" s="106" t="str">
        <f ca="1">IF(J869&gt;=12,(MID(Q870,1,1)&amp;MID(Q870,2,4)+1),CELL("address",AI870))</f>
        <v>$AI$870</v>
      </c>
    </row>
    <row r="871" spans="1:8" ht="15" customHeight="1">
      <c r="A871" s="414"/>
      <c r="B871" s="415"/>
      <c r="C871" s="98"/>
      <c r="D871" s="98"/>
      <c r="E871" s="98"/>
      <c r="F871" s="98"/>
      <c r="G871" s="98"/>
      <c r="H871" s="110"/>
    </row>
    <row r="872" spans="1:8" ht="15" customHeight="1">
      <c r="A872" s="332"/>
      <c r="B872" s="333"/>
      <c r="C872" s="67"/>
      <c r="D872" s="67"/>
      <c r="E872" s="68">
        <f>SUM(E874:E874)</f>
        <v>1</v>
      </c>
      <c r="F872" s="98"/>
      <c r="G872" s="98"/>
      <c r="H872" s="110"/>
    </row>
    <row r="873" spans="1:18" ht="15" customHeight="1">
      <c r="A873" s="320" t="s">
        <v>5</v>
      </c>
      <c r="B873" s="320"/>
      <c r="C873" s="65" t="s">
        <v>17</v>
      </c>
      <c r="D873" s="66" t="s">
        <v>18</v>
      </c>
      <c r="E873" s="65" t="s">
        <v>7</v>
      </c>
      <c r="F873" s="98"/>
      <c r="G873" s="99" t="str">
        <f>CONCATENATE("Misc. Healthy parts/ Non Ferrous  Scrap, Lying at ",C874,". Quantity in MT - ")</f>
        <v>Misc. Healthy parts/ Non Ferrous  Scrap, Lying at TRY Bathinda. Quantity in MT - </v>
      </c>
      <c r="H873" s="137" t="str">
        <f ca="1">CONCATENATE(G873,G874,(INDIRECT(I874)),(INDIRECT(J874)),(INDIRECT(K874)),(INDIRECT(L874)),(INDIRECT(M874)),(INDIRECT(N874)),(INDIRECT(O874)),(INDIRECT(P874)),(INDIRECT(Q874)),(INDIRECT(R874)),".")</f>
        <v>Misc. Healthy parts/ Non Ferrous  Scrap, Lying at TRY Bathinda. Quantity in MT - Brass scrap - 1, .</v>
      </c>
      <c r="I873" s="106" t="str">
        <f aca="true" ca="1" t="array" ref="I873">CELL("address",INDEX(G873:G895,MATCH(TRUE,ISBLANK(G873:G895),0)))</f>
        <v>$G$875</v>
      </c>
      <c r="J873" s="106">
        <f aca="true" t="array" ref="J873">MATCH(TRUE,ISBLANK(G873:G895),0)</f>
        <v>3</v>
      </c>
      <c r="K873" s="106">
        <f>J873-3</f>
        <v>0</v>
      </c>
      <c r="L873" s="106"/>
      <c r="M873" s="106"/>
      <c r="N873" s="106"/>
      <c r="O873" s="106"/>
      <c r="P873" s="106"/>
      <c r="Q873" s="106"/>
      <c r="R873" s="106"/>
    </row>
    <row r="874" spans="1:18" ht="15" customHeight="1">
      <c r="A874" s="320" t="s">
        <v>141</v>
      </c>
      <c r="B874" s="320"/>
      <c r="C874" s="290" t="s">
        <v>36</v>
      </c>
      <c r="D874" s="41" t="s">
        <v>23</v>
      </c>
      <c r="E874" s="47">
        <v>1</v>
      </c>
      <c r="F874" s="98"/>
      <c r="G874" s="98" t="str">
        <f>CONCATENATE(D874," - ",E874,", ")</f>
        <v>Brass scrap - 1, </v>
      </c>
      <c r="H874" s="137"/>
      <c r="I874" s="106" t="str">
        <f ca="1">IF(J873&gt;=3,(MID(I873,2,1)&amp;MID(I873,4,4)-K873),CELL("address",Z874))</f>
        <v>G875</v>
      </c>
      <c r="J874" s="106" t="str">
        <f ca="1">IF(J873&gt;=4,(MID(I874,1,1)&amp;MID(I874,2,4)+1),CELL("address",AA874))</f>
        <v>$AA$874</v>
      </c>
      <c r="K874" s="106" t="str">
        <f ca="1">IF(J873&gt;=5,(MID(J874,1,1)&amp;MID(J874,2,4)+1),CELL("address",AB874))</f>
        <v>$AB$874</v>
      </c>
      <c r="L874" s="106" t="str">
        <f ca="1">IF(J873&gt;=6,(MID(K874,1,1)&amp;MID(K874,2,4)+1),CELL("address",AC874))</f>
        <v>$AC$874</v>
      </c>
      <c r="M874" s="106" t="str">
        <f ca="1">IF(J873&gt;=7,(MID(L874,1,1)&amp;MID(L874,2,4)+1),CELL("address",AD874))</f>
        <v>$AD$874</v>
      </c>
      <c r="N874" s="106" t="str">
        <f ca="1">IF(J873&gt;=8,(MID(M874,1,1)&amp;MID(M874,2,4)+1),CELL("address",AE874))</f>
        <v>$AE$874</v>
      </c>
      <c r="O874" s="106" t="str">
        <f ca="1">IF(J873&gt;=9,(MID(N874,1,1)&amp;MID(N874,2,4)+1),CELL("address",AF874))</f>
        <v>$AF$874</v>
      </c>
      <c r="P874" s="106" t="str">
        <f ca="1">IF(J873&gt;=10,(MID(O874,1,1)&amp;MID(O874,2,4)+1),CELL("address",AG874))</f>
        <v>$AG$874</v>
      </c>
      <c r="Q874" s="106" t="str">
        <f ca="1">IF(J873&gt;=11,(MID(P874,1,1)&amp;MID(P874,2,4)+1),CELL("address",AH874))</f>
        <v>$AH$874</v>
      </c>
      <c r="R874" s="106" t="str">
        <f ca="1">IF(J873&gt;=12,(MID(Q874,1,1)&amp;MID(Q874,2,4)+1),CELL("address",AI874))</f>
        <v>$AI$874</v>
      </c>
    </row>
    <row r="875" spans="1:8" ht="15" customHeight="1">
      <c r="A875" s="414"/>
      <c r="B875" s="415"/>
      <c r="C875" s="98"/>
      <c r="D875" s="98"/>
      <c r="E875" s="98"/>
      <c r="F875" s="98"/>
      <c r="G875" s="98"/>
      <c r="H875" s="110"/>
    </row>
    <row r="876" spans="1:8" ht="15" customHeight="1">
      <c r="A876" s="332"/>
      <c r="B876" s="333"/>
      <c r="C876" s="67"/>
      <c r="D876" s="67"/>
      <c r="E876" s="68">
        <f>SUM(E878:E878)</f>
        <v>1</v>
      </c>
      <c r="F876" s="98"/>
      <c r="G876" s="98"/>
      <c r="H876" s="110"/>
    </row>
    <row r="877" spans="1:18" ht="15" customHeight="1">
      <c r="A877" s="320" t="s">
        <v>5</v>
      </c>
      <c r="B877" s="320"/>
      <c r="C877" s="65" t="s">
        <v>17</v>
      </c>
      <c r="D877" s="66" t="s">
        <v>18</v>
      </c>
      <c r="E877" s="65" t="s">
        <v>7</v>
      </c>
      <c r="F877" s="98"/>
      <c r="G877" s="99" t="str">
        <f>CONCATENATE("Misc. Healthy parts/ Non Ferrous  Scrap, Lying at ",C878,". Quantity in MT - ")</f>
        <v>Misc. Healthy parts/ Non Ferrous  Scrap, Lying at TRY Bathinda. Quantity in MT - </v>
      </c>
      <c r="H877" s="137" t="str">
        <f ca="1">CONCATENATE(G877,G878,(INDIRECT(I878)),(INDIRECT(J878)),(INDIRECT(K878)),(INDIRECT(L878)),(INDIRECT(M878)),(INDIRECT(N878)),(INDIRECT(O878)),(INDIRECT(P878)),(INDIRECT(Q878)),(INDIRECT(R878)),".")</f>
        <v>Misc. Healthy parts/ Non Ferrous  Scrap, Lying at TRY Bathinda. Quantity in MT - Brass scrap - 1, .</v>
      </c>
      <c r="I877" s="106" t="str">
        <f aca="true" ca="1" t="array" ref="I877">CELL("address",INDEX(G877:G899,MATCH(TRUE,ISBLANK(G877:G899),0)))</f>
        <v>$G$879</v>
      </c>
      <c r="J877" s="106">
        <f aca="true" t="array" ref="J877">MATCH(TRUE,ISBLANK(G877:G899),0)</f>
        <v>3</v>
      </c>
      <c r="K877" s="106">
        <f>J877-3</f>
        <v>0</v>
      </c>
      <c r="L877" s="106"/>
      <c r="M877" s="106"/>
      <c r="N877" s="106"/>
      <c r="O877" s="106"/>
      <c r="P877" s="106"/>
      <c r="Q877" s="106"/>
      <c r="R877" s="106"/>
    </row>
    <row r="878" spans="1:18" ht="15" customHeight="1">
      <c r="A878" s="320" t="s">
        <v>196</v>
      </c>
      <c r="B878" s="320"/>
      <c r="C878" s="290" t="s">
        <v>36</v>
      </c>
      <c r="D878" s="41" t="s">
        <v>23</v>
      </c>
      <c r="E878" s="47">
        <v>1</v>
      </c>
      <c r="F878" s="98"/>
      <c r="G878" s="98" t="str">
        <f>CONCATENATE(D878," - ",E878,", ")</f>
        <v>Brass scrap - 1, </v>
      </c>
      <c r="H878" s="137"/>
      <c r="I878" s="106" t="str">
        <f ca="1">IF(J877&gt;=3,(MID(I877,2,1)&amp;MID(I877,4,4)-K877),CELL("address",Z878))</f>
        <v>G879</v>
      </c>
      <c r="J878" s="106" t="str">
        <f ca="1">IF(J877&gt;=4,(MID(I878,1,1)&amp;MID(I878,2,4)+1),CELL("address",AA878))</f>
        <v>$AA$878</v>
      </c>
      <c r="K878" s="106" t="str">
        <f ca="1">IF(J877&gt;=5,(MID(J878,1,1)&amp;MID(J878,2,4)+1),CELL("address",AB878))</f>
        <v>$AB$878</v>
      </c>
      <c r="L878" s="106" t="str">
        <f ca="1">IF(J877&gt;=6,(MID(K878,1,1)&amp;MID(K878,2,4)+1),CELL("address",AC878))</f>
        <v>$AC$878</v>
      </c>
      <c r="M878" s="106" t="str">
        <f ca="1">IF(J877&gt;=7,(MID(L878,1,1)&amp;MID(L878,2,4)+1),CELL("address",AD878))</f>
        <v>$AD$878</v>
      </c>
      <c r="N878" s="106" t="str">
        <f ca="1">IF(J877&gt;=8,(MID(M878,1,1)&amp;MID(M878,2,4)+1),CELL("address",AE878))</f>
        <v>$AE$878</v>
      </c>
      <c r="O878" s="106" t="str">
        <f ca="1">IF(J877&gt;=9,(MID(N878,1,1)&amp;MID(N878,2,4)+1),CELL("address",AF878))</f>
        <v>$AF$878</v>
      </c>
      <c r="P878" s="106" t="str">
        <f ca="1">IF(J877&gt;=10,(MID(O878,1,1)&amp;MID(O878,2,4)+1),CELL("address",AG878))</f>
        <v>$AG$878</v>
      </c>
      <c r="Q878" s="106" t="str">
        <f ca="1">IF(J877&gt;=11,(MID(P878,1,1)&amp;MID(P878,2,4)+1),CELL("address",AH878))</f>
        <v>$AH$878</v>
      </c>
      <c r="R878" s="106" t="str">
        <f ca="1">IF(J877&gt;=12,(MID(Q878,1,1)&amp;MID(Q878,2,4)+1),CELL("address",AI878))</f>
        <v>$AI$878</v>
      </c>
    </row>
    <row r="879" spans="1:8" ht="15" customHeight="1">
      <c r="A879" s="414"/>
      <c r="B879" s="415"/>
      <c r="C879" s="98"/>
      <c r="D879" s="98"/>
      <c r="E879" s="98"/>
      <c r="F879" s="98"/>
      <c r="G879" s="98"/>
      <c r="H879" s="110"/>
    </row>
    <row r="880" spans="1:8" ht="15" customHeight="1">
      <c r="A880" s="332"/>
      <c r="B880" s="333"/>
      <c r="C880" s="67"/>
      <c r="D880" s="67"/>
      <c r="E880" s="68">
        <f>SUM(E882:E882)</f>
        <v>1</v>
      </c>
      <c r="F880" s="413"/>
      <c r="G880" s="413"/>
      <c r="H880" s="110"/>
    </row>
    <row r="881" spans="1:18" ht="15" customHeight="1">
      <c r="A881" s="320" t="s">
        <v>5</v>
      </c>
      <c r="B881" s="320"/>
      <c r="C881" s="65" t="s">
        <v>17</v>
      </c>
      <c r="D881" s="66" t="s">
        <v>18</v>
      </c>
      <c r="E881" s="65" t="s">
        <v>7</v>
      </c>
      <c r="F881" s="98"/>
      <c r="G881" s="99" t="str">
        <f>CONCATENATE("Misc. Healthy parts/ Non Ferrous  Scrap, Lying at ",C882,". Quantity in MT - ")</f>
        <v>Misc. Healthy parts/ Non Ferrous  Scrap, Lying at TRY Bathinda. Quantity in MT - </v>
      </c>
      <c r="H881" s="137" t="str">
        <f ca="1">CONCATENATE(G881,G882,(INDIRECT(I882)),(INDIRECT(J882)),(INDIRECT(K882)),(INDIRECT(L882)),(INDIRECT(M882)),(INDIRECT(N882)),(INDIRECT(O882)),(INDIRECT(P882)),(INDIRECT(Q882)),(INDIRECT(R882)),".")</f>
        <v>Misc. Healthy parts/ Non Ferrous  Scrap, Lying at TRY Bathinda. Quantity in MT - Brass scrap - 1, .</v>
      </c>
      <c r="I881" s="106" t="str">
        <f aca="true" ca="1" t="array" ref="I881">CELL("address",INDEX(G881:G903,MATCH(TRUE,ISBLANK(G881:G903),0)))</f>
        <v>$G$883</v>
      </c>
      <c r="J881" s="106">
        <f aca="true" t="array" ref="J881">MATCH(TRUE,ISBLANK(G881:G903),0)</f>
        <v>3</v>
      </c>
      <c r="K881" s="106">
        <f>J881-3</f>
        <v>0</v>
      </c>
      <c r="L881" s="106"/>
      <c r="M881" s="106"/>
      <c r="N881" s="106"/>
      <c r="O881" s="106"/>
      <c r="P881" s="106"/>
      <c r="Q881" s="106"/>
      <c r="R881" s="106"/>
    </row>
    <row r="882" spans="1:18" ht="15" customHeight="1">
      <c r="A882" s="320" t="s">
        <v>203</v>
      </c>
      <c r="B882" s="320"/>
      <c r="C882" s="290" t="s">
        <v>36</v>
      </c>
      <c r="D882" s="41" t="s">
        <v>23</v>
      </c>
      <c r="E882" s="47">
        <v>1</v>
      </c>
      <c r="F882" s="98"/>
      <c r="G882" s="98" t="str">
        <f>CONCATENATE(D882," - ",E882,", ")</f>
        <v>Brass scrap - 1, </v>
      </c>
      <c r="H882" s="137"/>
      <c r="I882" s="106" t="str">
        <f ca="1">IF(J881&gt;=3,(MID(I881,2,1)&amp;MID(I881,4,4)-K881),CELL("address",Z882))</f>
        <v>G883</v>
      </c>
      <c r="J882" s="106" t="str">
        <f ca="1">IF(J881&gt;=4,(MID(I882,1,1)&amp;MID(I882,2,4)+1),CELL("address",AA882))</f>
        <v>$AA$882</v>
      </c>
      <c r="K882" s="106" t="str">
        <f ca="1">IF(J881&gt;=5,(MID(J882,1,1)&amp;MID(J882,2,4)+1),CELL("address",AB882))</f>
        <v>$AB$882</v>
      </c>
      <c r="L882" s="106" t="str">
        <f ca="1">IF(J881&gt;=6,(MID(K882,1,1)&amp;MID(K882,2,4)+1),CELL("address",AC882))</f>
        <v>$AC$882</v>
      </c>
      <c r="M882" s="106" t="str">
        <f ca="1">IF(J881&gt;=7,(MID(L882,1,1)&amp;MID(L882,2,4)+1),CELL("address",AD882))</f>
        <v>$AD$882</v>
      </c>
      <c r="N882" s="106" t="str">
        <f ca="1">IF(J881&gt;=8,(MID(M882,1,1)&amp;MID(M882,2,4)+1),CELL("address",AE882))</f>
        <v>$AE$882</v>
      </c>
      <c r="O882" s="106" t="str">
        <f ca="1">IF(J881&gt;=9,(MID(N882,1,1)&amp;MID(N882,2,4)+1),CELL("address",AF882))</f>
        <v>$AF$882</v>
      </c>
      <c r="P882" s="106" t="str">
        <f ca="1">IF(J881&gt;=10,(MID(O882,1,1)&amp;MID(O882,2,4)+1),CELL("address",AG882))</f>
        <v>$AG$882</v>
      </c>
      <c r="Q882" s="106" t="str">
        <f ca="1">IF(J881&gt;=11,(MID(P882,1,1)&amp;MID(P882,2,4)+1),CELL("address",AH882))</f>
        <v>$AH$882</v>
      </c>
      <c r="R882" s="106" t="str">
        <f ca="1">IF(J881&gt;=12,(MID(Q882,1,1)&amp;MID(Q882,2,4)+1),CELL("address",AI882))</f>
        <v>$AI$882</v>
      </c>
    </row>
    <row r="883" spans="1:8" ht="15" customHeight="1">
      <c r="A883" s="52"/>
      <c r="B883" s="55"/>
      <c r="C883" s="20"/>
      <c r="D883" s="55"/>
      <c r="E883" s="104"/>
      <c r="F883" s="98"/>
      <c r="G883" s="98"/>
      <c r="H883" s="111"/>
    </row>
    <row r="884" spans="1:8" ht="15" customHeight="1">
      <c r="A884" s="332"/>
      <c r="B884" s="333"/>
      <c r="C884" s="67"/>
      <c r="D884" s="67"/>
      <c r="E884" s="68">
        <f>SUM(E886:E888)</f>
        <v>2.129</v>
      </c>
      <c r="F884" s="98"/>
      <c r="G884" s="98"/>
      <c r="H884" s="111"/>
    </row>
    <row r="885" spans="1:18" ht="15" customHeight="1">
      <c r="A885" s="320" t="s">
        <v>5</v>
      </c>
      <c r="B885" s="320"/>
      <c r="C885" s="65" t="s">
        <v>17</v>
      </c>
      <c r="D885" s="66" t="s">
        <v>18</v>
      </c>
      <c r="E885" s="65" t="s">
        <v>7</v>
      </c>
      <c r="F885" s="98"/>
      <c r="G885" s="99" t="str">
        <f>CONCATENATE("Misc. Healthy parts/ Non Ferrous  Scrap, Lying at ",C886,". Quantity in MT - ")</f>
        <v>Misc. Healthy parts/ Non Ferrous  Scrap, Lying at TRY Kotkapura. Quantity in MT - </v>
      </c>
      <c r="H885" s="137" t="str">
        <f ca="1">CONCATENATE(G885,G886,(INDIRECT(I886)),(INDIRECT(J886)),(INDIRECT(K886)),(INDIRECT(L886)),(INDIRECT(M886)),(INDIRECT(N886)),(INDIRECT(O886)),(INDIRECT(P886)),(INDIRECT(Q886)),(INDIRECT(R886)),".")</f>
        <v>Misc. Healthy parts/ Non Ferrous  Scrap, Lying at TRY Kotkapura. Quantity in MT - Brass scrap - 1.754, Misc. Alumn. Scrap - 0.269, Iron scrap - 0.106, .</v>
      </c>
      <c r="I885" s="106" t="str">
        <f aca="true" ca="1" t="array" ref="I885">CELL("address",INDEX(G885:G907,MATCH(TRUE,ISBLANK(G885:G907),0)))</f>
        <v>$G$889</v>
      </c>
      <c r="J885" s="106">
        <f aca="true" t="array" ref="J885">MATCH(TRUE,ISBLANK(G885:G907),0)</f>
        <v>5</v>
      </c>
      <c r="K885" s="106">
        <f>J885-3</f>
        <v>2</v>
      </c>
      <c r="L885" s="106"/>
      <c r="M885" s="106"/>
      <c r="N885" s="106"/>
      <c r="O885" s="106"/>
      <c r="P885" s="106"/>
      <c r="Q885" s="106"/>
      <c r="R885" s="106"/>
    </row>
    <row r="886" spans="1:18" ht="15" customHeight="1">
      <c r="A886" s="320" t="s">
        <v>210</v>
      </c>
      <c r="B886" s="320"/>
      <c r="C886" s="321" t="s">
        <v>249</v>
      </c>
      <c r="D886" s="46" t="s">
        <v>23</v>
      </c>
      <c r="E886" s="48">
        <v>1.754</v>
      </c>
      <c r="F886" s="98"/>
      <c r="G886" s="98" t="str">
        <f>CONCATENATE(D886," - ",E886,", ")</f>
        <v>Brass scrap - 1.754, </v>
      </c>
      <c r="H886" s="137"/>
      <c r="I886" s="106" t="str">
        <f ca="1">IF(J885&gt;=3,(MID(I885,2,1)&amp;MID(I885,4,4)-K885),CELL("address",Z886))</f>
        <v>G887</v>
      </c>
      <c r="J886" s="106" t="str">
        <f ca="1">IF(J885&gt;=4,(MID(I886,1,1)&amp;MID(I886,2,4)+1),CELL("address",AA886))</f>
        <v>G888</v>
      </c>
      <c r="K886" s="106" t="str">
        <f ca="1">IF(J885&gt;=5,(MID(J886,1,1)&amp;MID(J886,2,4)+1),CELL("address",AB886))</f>
        <v>G889</v>
      </c>
      <c r="L886" s="106" t="str">
        <f ca="1">IF(J885&gt;=6,(MID(K886,1,1)&amp;MID(K886,2,4)+1),CELL("address",AC886))</f>
        <v>$AC$886</v>
      </c>
      <c r="M886" s="106" t="str">
        <f ca="1">IF(J885&gt;=7,(MID(L886,1,1)&amp;MID(L886,2,4)+1),CELL("address",AD886))</f>
        <v>$AD$886</v>
      </c>
      <c r="N886" s="106" t="str">
        <f ca="1">IF(J885&gt;=8,(MID(M886,1,1)&amp;MID(M886,2,4)+1),CELL("address",AE886))</f>
        <v>$AE$886</v>
      </c>
      <c r="O886" s="106" t="str">
        <f ca="1">IF(J885&gt;=9,(MID(N886,1,1)&amp;MID(N886,2,4)+1),CELL("address",AF886))</f>
        <v>$AF$886</v>
      </c>
      <c r="P886" s="106" t="str">
        <f ca="1">IF(J885&gt;=10,(MID(O886,1,1)&amp;MID(O886,2,4)+1),CELL("address",AG886))</f>
        <v>$AG$886</v>
      </c>
      <c r="Q886" s="106" t="str">
        <f ca="1">IF(J885&gt;=11,(MID(P886,1,1)&amp;MID(P886,2,4)+1),CELL("address",AH886))</f>
        <v>$AH$886</v>
      </c>
      <c r="R886" s="106" t="str">
        <f ca="1">IF(J885&gt;=12,(MID(Q886,1,1)&amp;MID(Q886,2,4)+1),CELL("address",AI886))</f>
        <v>$AI$886</v>
      </c>
    </row>
    <row r="887" spans="1:8" ht="15" customHeight="1">
      <c r="A887" s="320"/>
      <c r="B887" s="320"/>
      <c r="C887" s="321"/>
      <c r="D887" s="46" t="s">
        <v>31</v>
      </c>
      <c r="E887" s="65">
        <v>0.269</v>
      </c>
      <c r="F887" s="98"/>
      <c r="G887" s="98" t="str">
        <f>CONCATENATE(D887," - ",E887,", ")</f>
        <v>Misc. Alumn. Scrap - 0.269, </v>
      </c>
      <c r="H887" s="111"/>
    </row>
    <row r="888" spans="1:8" ht="15" customHeight="1">
      <c r="A888" s="320"/>
      <c r="B888" s="320"/>
      <c r="C888" s="321"/>
      <c r="D888" s="41" t="s">
        <v>27</v>
      </c>
      <c r="E888" s="65">
        <v>0.106</v>
      </c>
      <c r="F888" s="98"/>
      <c r="G888" s="113" t="str">
        <f>CONCATENATE(D888," - ",E888,", ")</f>
        <v>Iron scrap - 0.106, </v>
      </c>
      <c r="H888" s="110"/>
    </row>
    <row r="889" spans="1:8" ht="15" customHeight="1">
      <c r="A889" s="322"/>
      <c r="B889" s="323"/>
      <c r="C889" s="290"/>
      <c r="D889" s="292"/>
      <c r="E889" s="118"/>
      <c r="F889" s="98"/>
      <c r="G889" s="98"/>
      <c r="H889" s="110"/>
    </row>
    <row r="890" spans="1:8" ht="15" customHeight="1">
      <c r="A890" s="332"/>
      <c r="B890" s="333"/>
      <c r="C890" s="67"/>
      <c r="D890" s="67"/>
      <c r="E890" s="68">
        <f>SUM(E892:E895)</f>
        <v>1.557</v>
      </c>
      <c r="F890" s="98"/>
      <c r="G890" s="98"/>
      <c r="H890" s="110"/>
    </row>
    <row r="891" spans="1:18" ht="15" customHeight="1">
      <c r="A891" s="322" t="s">
        <v>5</v>
      </c>
      <c r="B891" s="323"/>
      <c r="C891" s="65" t="s">
        <v>17</v>
      </c>
      <c r="D891" s="66" t="s">
        <v>18</v>
      </c>
      <c r="E891" s="65" t="s">
        <v>7</v>
      </c>
      <c r="F891" s="98"/>
      <c r="G891" s="99" t="str">
        <f>CONCATENATE("Misc. Healthy parts/ Non Ferrous  Scrap, Lying at ",C892,". Quantity in MT - ")</f>
        <v>Misc. Healthy parts/ Non Ferrous  Scrap, Lying at TRY Mansa. Quantity in MT - </v>
      </c>
      <c r="H891" s="137" t="str">
        <f ca="1">CONCATENATE(G891,G892,(INDIRECT(I892)),(INDIRECT(J892)),(INDIRECT(K892)),(INDIRECT(L892)),(INDIRECT(M892)),(INDIRECT(N892)),(INDIRECT(O892)),(INDIRECT(P892)),(INDIRECT(Q892)),(INDIRECT(R892)),".")</f>
        <v>Misc. Healthy parts/ Non Ferrous  Scrap, Lying at TRY Mansa. Quantity in MT - Brass scrap - 1.302, Misc. Aluminium scrap - 0.147, Burnt Cu scrap - 0.027,  Iron scrap - 0.081, .</v>
      </c>
      <c r="I891" s="106" t="str">
        <f aca="true" ca="1" t="array" ref="I891">CELL("address",INDEX(G891:G913,MATCH(TRUE,ISBLANK(G891:G913),0)))</f>
        <v>$G$896</v>
      </c>
      <c r="J891" s="106">
        <f aca="true" t="array" ref="J891">MATCH(TRUE,ISBLANK(G891:G913),0)</f>
        <v>6</v>
      </c>
      <c r="K891" s="106">
        <f>J891-3</f>
        <v>3</v>
      </c>
      <c r="L891" s="106"/>
      <c r="M891" s="106"/>
      <c r="N891" s="106"/>
      <c r="O891" s="106"/>
      <c r="P891" s="106"/>
      <c r="Q891" s="106"/>
      <c r="R891" s="106"/>
    </row>
    <row r="892" spans="1:18" ht="15" customHeight="1">
      <c r="A892" s="320" t="s">
        <v>235</v>
      </c>
      <c r="B892" s="320"/>
      <c r="C892" s="321" t="s">
        <v>166</v>
      </c>
      <c r="D892" s="41" t="s">
        <v>23</v>
      </c>
      <c r="E892" s="47">
        <v>1.302</v>
      </c>
      <c r="F892" s="98"/>
      <c r="G892" s="98" t="str">
        <f>CONCATENATE(D892," - ",E892,", ")</f>
        <v>Brass scrap - 1.302, </v>
      </c>
      <c r="H892" s="137"/>
      <c r="I892" s="106" t="str">
        <f ca="1">IF(J891&gt;=3,(MID(I891,2,1)&amp;MID(I891,4,4)-K891),CELL("address",Z892))</f>
        <v>G893</v>
      </c>
      <c r="J892" s="106" t="str">
        <f ca="1">IF(J891&gt;=4,(MID(I892,1,1)&amp;MID(I892,2,4)+1),CELL("address",AA892))</f>
        <v>G894</v>
      </c>
      <c r="K892" s="106" t="str">
        <f ca="1">IF(J891&gt;=5,(MID(J892,1,1)&amp;MID(J892,2,4)+1),CELL("address",AB892))</f>
        <v>G895</v>
      </c>
      <c r="L892" s="106" t="str">
        <f ca="1">IF(J891&gt;=6,(MID(K892,1,1)&amp;MID(K892,2,4)+1),CELL("address",AC892))</f>
        <v>G896</v>
      </c>
      <c r="M892" s="106" t="str">
        <f ca="1">IF(J891&gt;=7,(MID(L892,1,1)&amp;MID(L892,2,4)+1),CELL("address",AD892))</f>
        <v>$AD$892</v>
      </c>
      <c r="N892" s="106" t="str">
        <f ca="1">IF(J891&gt;=8,(MID(M892,1,1)&amp;MID(M892,2,4)+1),CELL("address",AE892))</f>
        <v>$AE$892</v>
      </c>
      <c r="O892" s="106" t="str">
        <f ca="1">IF(J891&gt;=9,(MID(N892,1,1)&amp;MID(N892,2,4)+1),CELL("address",AF892))</f>
        <v>$AF$892</v>
      </c>
      <c r="P892" s="106" t="str">
        <f ca="1">IF(J891&gt;=10,(MID(O892,1,1)&amp;MID(O892,2,4)+1),CELL("address",AG892))</f>
        <v>$AG$892</v>
      </c>
      <c r="Q892" s="106" t="str">
        <f ca="1">IF(J891&gt;=11,(MID(P892,1,1)&amp;MID(P892,2,4)+1),CELL("address",AH892))</f>
        <v>$AH$892</v>
      </c>
      <c r="R892" s="106" t="str">
        <f ca="1">IF(J891&gt;=12,(MID(Q892,1,1)&amp;MID(Q892,2,4)+1),CELL("address",AI892))</f>
        <v>$AI$892</v>
      </c>
    </row>
    <row r="893" spans="1:8" ht="15" customHeight="1">
      <c r="A893" s="320"/>
      <c r="B893" s="320"/>
      <c r="C893" s="321"/>
      <c r="D893" s="41" t="s">
        <v>24</v>
      </c>
      <c r="E893" s="47">
        <v>0.147</v>
      </c>
      <c r="F893" s="98"/>
      <c r="G893" s="98" t="str">
        <f>CONCATENATE(D893," - ",E893,", ")</f>
        <v>Misc. Aluminium scrap - 0.147, </v>
      </c>
      <c r="H893" s="110"/>
    </row>
    <row r="894" spans="1:8" ht="15" customHeight="1">
      <c r="A894" s="320"/>
      <c r="B894" s="320"/>
      <c r="C894" s="321"/>
      <c r="D894" s="41" t="s">
        <v>37</v>
      </c>
      <c r="E894" s="47">
        <v>0.027</v>
      </c>
      <c r="F894" s="98"/>
      <c r="G894" s="98" t="str">
        <f>CONCATENATE(D894," - ",E894,", ")</f>
        <v>Burnt Cu scrap - 0.027, </v>
      </c>
      <c r="H894" s="110"/>
    </row>
    <row r="895" spans="1:8" ht="15" customHeight="1">
      <c r="A895" s="320"/>
      <c r="B895" s="320"/>
      <c r="C895" s="321"/>
      <c r="D895" s="46" t="s">
        <v>75</v>
      </c>
      <c r="E895" s="47">
        <v>0.081</v>
      </c>
      <c r="F895" s="98"/>
      <c r="G895" s="98" t="str">
        <f>CONCATENATE(D895," - ",E895,", ")</f>
        <v> Iron scrap - 0.081, </v>
      </c>
      <c r="H895" s="112"/>
    </row>
    <row r="896" spans="1:8" ht="15" customHeight="1">
      <c r="A896" s="36"/>
      <c r="B896" s="1"/>
      <c r="C896" s="1"/>
      <c r="D896" s="1"/>
      <c r="E896" s="1"/>
      <c r="F896" s="98"/>
      <c r="G896" s="98"/>
      <c r="H896" s="110"/>
    </row>
    <row r="897" spans="1:8" ht="15" customHeight="1">
      <c r="A897" s="332"/>
      <c r="B897" s="333"/>
      <c r="C897" s="67"/>
      <c r="D897" s="67"/>
      <c r="E897" s="68">
        <f>SUM(E899:E903)</f>
        <v>2.086</v>
      </c>
      <c r="F897" s="98"/>
      <c r="G897" s="98"/>
      <c r="H897" s="110"/>
    </row>
    <row r="898" spans="1:18" ht="15" customHeight="1">
      <c r="A898" s="322" t="s">
        <v>5</v>
      </c>
      <c r="B898" s="323"/>
      <c r="C898" s="65" t="s">
        <v>17</v>
      </c>
      <c r="D898" s="66" t="s">
        <v>18</v>
      </c>
      <c r="E898" s="65" t="s">
        <v>7</v>
      </c>
      <c r="F898" s="98"/>
      <c r="G898" s="99" t="str">
        <f>CONCATENATE("Misc. Healthy parts/ Non Ferrous  Scrap, Lying at ",C899,". Quantity in MT - ")</f>
        <v>Misc. Healthy parts/ Non Ferrous  Scrap, Lying at TRY Bhagta Bhai Ka. Quantity in MT - </v>
      </c>
      <c r="H898" s="411" t="str">
        <f ca="1">CONCATENATE(G898,G899,(INDIRECT(I899)),(INDIRECT(J899)),(INDIRECT(K899)),(INDIRECT(L899)),(INDIRECT(M899)),(INDIRECT(N899)),(INDIRECT(O899)),(INDIRECT(P899)),(INDIRECT(Q899)),(INDIRECT(R899)),".")</f>
        <v>Misc. Healthy parts/ Non Ferrous  Scrap, Lying at TRY Bhagta Bhai Ka. Quantity in MT - Brass scrap - 1.22, Misc. Aluminium scrap - 0.151, Burnt Cu scrap - 0.037,  Iron scrap - 0.088, Nuts &amp; Bolts scrap - 0.59, .</v>
      </c>
      <c r="I898" s="106" t="str">
        <f aca="true" ca="1" t="array" ref="I898">CELL("address",INDEX(G898:G916,MATCH(TRUE,ISBLANK(G898:G916),0)))</f>
        <v>$G$904</v>
      </c>
      <c r="J898" s="106">
        <f aca="true" t="array" ref="J898">MATCH(TRUE,ISBLANK(G898:G916),0)</f>
        <v>7</v>
      </c>
      <c r="K898" s="106">
        <f>J898-3</f>
        <v>4</v>
      </c>
      <c r="L898" s="106"/>
      <c r="M898" s="106"/>
      <c r="N898" s="106"/>
      <c r="O898" s="106"/>
      <c r="P898" s="106"/>
      <c r="Q898" s="106"/>
      <c r="R898" s="106"/>
    </row>
    <row r="899" spans="1:18" ht="15" customHeight="1">
      <c r="A899" s="350" t="s">
        <v>194</v>
      </c>
      <c r="B899" s="351"/>
      <c r="C899" s="344" t="s">
        <v>132</v>
      </c>
      <c r="D899" s="41" t="s">
        <v>23</v>
      </c>
      <c r="E899" s="47">
        <v>1.22</v>
      </c>
      <c r="F899" s="98"/>
      <c r="G899" s="98" t="str">
        <f>CONCATENATE(D899," - ",E899,", ")</f>
        <v>Brass scrap - 1.22, </v>
      </c>
      <c r="H899" s="412"/>
      <c r="I899" s="106" t="str">
        <f ca="1">IF(J898&gt;=3,(MID(I898,2,1)&amp;MID(I898,4,4)-K898),CELL("address",Z899))</f>
        <v>G900</v>
      </c>
      <c r="J899" s="106" t="str">
        <f ca="1">IF(J898&gt;=4,(MID(I899,1,1)&amp;MID(I899,2,4)+1),CELL("address",AA899))</f>
        <v>G901</v>
      </c>
      <c r="K899" s="106" t="str">
        <f ca="1">IF(J898&gt;=5,(MID(J899,1,1)&amp;MID(J899,2,4)+1),CELL("address",AB899))</f>
        <v>G902</v>
      </c>
      <c r="L899" s="106" t="str">
        <f ca="1">IF(J898&gt;=6,(MID(K899,1,1)&amp;MID(K899,2,4)+1),CELL("address",AC899))</f>
        <v>G903</v>
      </c>
      <c r="M899" s="106" t="str">
        <f ca="1">IF(J898&gt;=7,(MID(L899,1,1)&amp;MID(L899,2,4)+1),CELL("address",AD899))</f>
        <v>G904</v>
      </c>
      <c r="N899" s="106" t="str">
        <f ca="1">IF(J898&gt;=8,(MID(M899,1,1)&amp;MID(M899,2,4)+1),CELL("address",AE899))</f>
        <v>$AE$899</v>
      </c>
      <c r="O899" s="106" t="str">
        <f ca="1">IF(J898&gt;=9,(MID(N899,1,1)&amp;MID(N899,2,4)+1),CELL("address",AF899))</f>
        <v>$AF$899</v>
      </c>
      <c r="P899" s="106" t="str">
        <f ca="1">IF(J898&gt;=10,(MID(O899,1,1)&amp;MID(O899,2,4)+1),CELL("address",AG899))</f>
        <v>$AG$899</v>
      </c>
      <c r="Q899" s="106" t="str">
        <f ca="1">IF(J898&gt;=11,(MID(P899,1,1)&amp;MID(P899,2,4)+1),CELL("address",AH899))</f>
        <v>$AH$899</v>
      </c>
      <c r="R899" s="106" t="str">
        <f ca="1">IF(J898&gt;=12,(MID(Q899,1,1)&amp;MID(Q899,2,4)+1),CELL("address",AI899))</f>
        <v>$AI$899</v>
      </c>
    </row>
    <row r="900" spans="1:8" ht="15" customHeight="1">
      <c r="A900" s="371"/>
      <c r="B900" s="372"/>
      <c r="C900" s="345"/>
      <c r="D900" s="41" t="s">
        <v>24</v>
      </c>
      <c r="E900" s="47">
        <v>0.151</v>
      </c>
      <c r="F900" s="98"/>
      <c r="G900" s="98" t="str">
        <f>CONCATENATE(D900," - ",E900,", ")</f>
        <v>Misc. Aluminium scrap - 0.151, </v>
      </c>
      <c r="H900" s="110"/>
    </row>
    <row r="901" spans="1:8" ht="15" customHeight="1">
      <c r="A901" s="371"/>
      <c r="B901" s="372"/>
      <c r="C901" s="345"/>
      <c r="D901" s="41" t="s">
        <v>37</v>
      </c>
      <c r="E901" s="47">
        <v>0.037</v>
      </c>
      <c r="F901" s="98"/>
      <c r="G901" s="98" t="str">
        <f>CONCATENATE(D901," - ",E901,", ")</f>
        <v>Burnt Cu scrap - 0.037, </v>
      </c>
      <c r="H901" s="110"/>
    </row>
    <row r="902" spans="1:8" ht="15" customHeight="1">
      <c r="A902" s="371"/>
      <c r="B902" s="372"/>
      <c r="C902" s="345"/>
      <c r="D902" s="46" t="s">
        <v>75</v>
      </c>
      <c r="E902" s="47">
        <v>0.088</v>
      </c>
      <c r="F902" s="98"/>
      <c r="G902" s="98" t="str">
        <f>CONCATENATE(D902," - ",E902,", ")</f>
        <v> Iron scrap - 0.088, </v>
      </c>
      <c r="H902" s="110"/>
    </row>
    <row r="903" spans="1:8" ht="15" customHeight="1">
      <c r="A903" s="373"/>
      <c r="B903" s="374"/>
      <c r="C903" s="346"/>
      <c r="D903" s="41" t="s">
        <v>58</v>
      </c>
      <c r="E903" s="47">
        <v>0.59</v>
      </c>
      <c r="F903" s="98"/>
      <c r="G903" s="98" t="str">
        <f>CONCATENATE(D903," - ",E903,", ")</f>
        <v>Nuts &amp; Bolts scrap - 0.59, </v>
      </c>
      <c r="H903" s="110"/>
    </row>
    <row r="904" spans="1:8" ht="15" customHeight="1">
      <c r="A904" s="52"/>
      <c r="B904" s="55"/>
      <c r="C904" s="20"/>
      <c r="D904" s="55"/>
      <c r="E904" s="104"/>
      <c r="F904" s="98"/>
      <c r="G904" s="101"/>
      <c r="H904" s="110"/>
    </row>
    <row r="905" spans="1:8" ht="15" customHeight="1">
      <c r="A905" s="332"/>
      <c r="B905" s="333"/>
      <c r="C905" s="67"/>
      <c r="D905" s="67"/>
      <c r="E905" s="134">
        <f>SUM(E907:E907)</f>
        <v>0.021</v>
      </c>
      <c r="F905" s="98"/>
      <c r="G905" s="101"/>
      <c r="H905" s="110"/>
    </row>
    <row r="906" spans="1:18" ht="15" customHeight="1">
      <c r="A906" s="320" t="s">
        <v>5</v>
      </c>
      <c r="B906" s="320"/>
      <c r="C906" s="65" t="s">
        <v>17</v>
      </c>
      <c r="D906" s="66" t="s">
        <v>18</v>
      </c>
      <c r="E906" s="69" t="s">
        <v>7</v>
      </c>
      <c r="F906" s="98"/>
      <c r="G906" s="167" t="str">
        <f>CONCATENATE("Misc. Healthy parts/ Non Ferrous  Scrap, Lying at ",C907,". Quantity in MT - ")</f>
        <v>Misc. Healthy parts/ Non Ferrous  Scrap, Lying at OL Barnala. Quantity in MT - </v>
      </c>
      <c r="H906" s="137" t="str">
        <f ca="1">CONCATENATE(G906,G907,(INDIRECT(I907)),(INDIRECT(J907)),(INDIRECT(K907)),(INDIRECT(L907)),(INDIRECT(M907)),(INDIRECT(N907)),(INDIRECT(O907)),(INDIRECT(P907)),(INDIRECT(Q907)),(INDIRECT(R907)),".")</f>
        <v>Misc. Healthy parts/ Non Ferrous  Scrap, Lying at OL Barnala. Quantity in MT - Misc. copper scrap - 0.021, .</v>
      </c>
      <c r="I906" s="106" t="str">
        <f aca="true" ca="1" t="array" ref="I906">CELL("address",INDEX(G906:G925,MATCH(TRUE,ISBLANK(G906:G925),0)))</f>
        <v>$G$908</v>
      </c>
      <c r="J906" s="106">
        <f aca="true" t="array" ref="J906">MATCH(TRUE,ISBLANK(G906:G925),0)</f>
        <v>3</v>
      </c>
      <c r="K906" s="106">
        <f>J906-3</f>
        <v>0</v>
      </c>
      <c r="L906" s="106"/>
      <c r="M906" s="106"/>
      <c r="N906" s="106"/>
      <c r="O906" s="106"/>
      <c r="P906" s="106"/>
      <c r="Q906" s="106"/>
      <c r="R906" s="106"/>
    </row>
    <row r="907" spans="1:18" ht="15" customHeight="1">
      <c r="A907" s="320" t="s">
        <v>195</v>
      </c>
      <c r="B907" s="320"/>
      <c r="C907" s="290" t="s">
        <v>190</v>
      </c>
      <c r="D907" s="61" t="s">
        <v>111</v>
      </c>
      <c r="E907" s="70">
        <v>0.021</v>
      </c>
      <c r="F907" s="166"/>
      <c r="G907" s="98" t="str">
        <f>CONCATENATE(D907," - ",E907,", ")</f>
        <v>Misc. copper scrap - 0.021, </v>
      </c>
      <c r="H907" s="116"/>
      <c r="I907" s="106" t="str">
        <f ca="1">IF(J906&gt;=3,(MID(I906,2,1)&amp;MID(I906,4,4)-K906),CELL("address",Z907))</f>
        <v>G908</v>
      </c>
      <c r="J907" s="106" t="str">
        <f ca="1">IF(J906&gt;=4,(MID(I907,1,1)&amp;MID(I907,2,4)+1),CELL("address",AA907))</f>
        <v>$AA$907</v>
      </c>
      <c r="K907" s="106" t="str">
        <f ca="1">IF(J906&gt;=5,(MID(J907,1,1)&amp;MID(J907,2,4)+1),CELL("address",AB907))</f>
        <v>$AB$907</v>
      </c>
      <c r="L907" s="106" t="str">
        <f ca="1">IF(J906&gt;=6,(MID(K907,1,1)&amp;MID(K907,2,4)+1),CELL("address",AC907))</f>
        <v>$AC$907</v>
      </c>
      <c r="M907" s="106" t="str">
        <f ca="1">IF(J906&gt;=7,(MID(L907,1,1)&amp;MID(L907,2,4)+1),CELL("address",AD907))</f>
        <v>$AD$907</v>
      </c>
      <c r="N907" s="106" t="str">
        <f ca="1">IF(J906&gt;=8,(MID(M907,1,1)&amp;MID(M907,2,4)+1),CELL("address",AE907))</f>
        <v>$AE$907</v>
      </c>
      <c r="O907" s="106" t="str">
        <f ca="1">IF(J906&gt;=9,(MID(N907,1,1)&amp;MID(N907,2,4)+1),CELL("address",AF907))</f>
        <v>$AF$907</v>
      </c>
      <c r="P907" s="106" t="str">
        <f ca="1">IF(J906&gt;=10,(MID(O907,1,1)&amp;MID(O907,2,4)+1),CELL("address",AG907))</f>
        <v>$AG$907</v>
      </c>
      <c r="Q907" s="106" t="str">
        <f ca="1">IF(J906&gt;=11,(MID(P907,1,1)&amp;MID(P907,2,4)+1),CELL("address",AH907))</f>
        <v>$AH$907</v>
      </c>
      <c r="R907" s="106" t="str">
        <f ca="1">IF(J906&gt;=12,(MID(Q907,1,1)&amp;MID(Q907,2,4)+1),CELL("address",AI907))</f>
        <v>$AI$907</v>
      </c>
    </row>
    <row r="908" spans="1:8" ht="15" customHeight="1">
      <c r="A908" s="36"/>
      <c r="B908" s="1"/>
      <c r="C908" s="1"/>
      <c r="D908" s="1"/>
      <c r="E908" s="1"/>
      <c r="F908" s="166"/>
      <c r="G908" s="98"/>
      <c r="H908" s="110"/>
    </row>
    <row r="909" spans="1:8" ht="15" customHeight="1">
      <c r="A909" s="332"/>
      <c r="B909" s="333"/>
      <c r="C909" s="67"/>
      <c r="D909" s="67"/>
      <c r="E909" s="134">
        <f>SUM(E911:E913)</f>
        <v>1.097</v>
      </c>
      <c r="F909" s="166"/>
      <c r="G909" s="98"/>
      <c r="H909" s="110"/>
    </row>
    <row r="910" spans="1:18" ht="15" customHeight="1">
      <c r="A910" s="320" t="s">
        <v>5</v>
      </c>
      <c r="B910" s="320"/>
      <c r="C910" s="65" t="s">
        <v>17</v>
      </c>
      <c r="D910" s="66" t="s">
        <v>18</v>
      </c>
      <c r="E910" s="69" t="s">
        <v>7</v>
      </c>
      <c r="F910" s="166"/>
      <c r="G910" s="99" t="str">
        <f>CONCATENATE("Misc. Healthy parts/ Non Ferrous  Scrap, Lying at ",C911,". Quantity in MT - ")</f>
        <v>Misc. Healthy parts/ Non Ferrous  Scrap, Lying at TRY Moga. Quantity in MT - </v>
      </c>
      <c r="H910" s="116" t="str">
        <f ca="1">CONCATENATE(G910,G911,(INDIRECT(I911)),(INDIRECT(J911)),(INDIRECT(K911)),(INDIRECT(L911)),(INDIRECT(M911)),(INDIRECT(N911)),(INDIRECT(O911)),(INDIRECT(P911)),(INDIRECT(Q911)),(INDIRECT(R911)),".")</f>
        <v>Misc. Healthy parts/ Non Ferrous  Scrap, Lying at TRY Moga. Quantity in MT - Brass scrap - 0.911, Misc. Alumn. Scrap - 0.125, Iron scrap - 0.061, .</v>
      </c>
      <c r="I910" s="106" t="str">
        <f aca="true" ca="1" t="array" ref="I910">CELL("address",INDEX(G910:G929,MATCH(TRUE,ISBLANK(G910:G929),0)))</f>
        <v>$G$914</v>
      </c>
      <c r="J910" s="106">
        <f aca="true" t="array" ref="J910">MATCH(TRUE,ISBLANK(G910:G929),0)</f>
        <v>5</v>
      </c>
      <c r="K910" s="106">
        <f>J910-3</f>
        <v>2</v>
      </c>
      <c r="L910" s="106"/>
      <c r="M910" s="106"/>
      <c r="N910" s="106"/>
      <c r="O910" s="106"/>
      <c r="P910" s="106"/>
      <c r="Q910" s="106"/>
      <c r="R910" s="106"/>
    </row>
    <row r="911" spans="1:18" ht="15" customHeight="1">
      <c r="A911" s="320" t="s">
        <v>236</v>
      </c>
      <c r="B911" s="320"/>
      <c r="C911" s="321" t="s">
        <v>222</v>
      </c>
      <c r="D911" s="46" t="s">
        <v>23</v>
      </c>
      <c r="E911" s="135">
        <v>0.911</v>
      </c>
      <c r="F911" s="166"/>
      <c r="G911" s="98" t="str">
        <f>CONCATENATE(D911," - ",E911,", ")</f>
        <v>Brass scrap - 0.911, </v>
      </c>
      <c r="H911" s="116"/>
      <c r="I911" s="106" t="str">
        <f ca="1">IF(J910&gt;=3,(MID(I910,2,1)&amp;MID(I910,4,4)-K910),CELL("address",Z911))</f>
        <v>G912</v>
      </c>
      <c r="J911" s="106" t="str">
        <f ca="1">IF(J910&gt;=4,(MID(I911,1,1)&amp;MID(I911,2,4)+1),CELL("address",AA911))</f>
        <v>G913</v>
      </c>
      <c r="K911" s="106" t="str">
        <f ca="1">IF(J910&gt;=5,(MID(J911,1,1)&amp;MID(J911,2,4)+1),CELL("address",AB911))</f>
        <v>G914</v>
      </c>
      <c r="L911" s="106" t="str">
        <f ca="1">IF(J910&gt;=6,(MID(K911,1,1)&amp;MID(K911,2,4)+1),CELL("address",AC911))</f>
        <v>$AC$911</v>
      </c>
      <c r="M911" s="106" t="str">
        <f ca="1">IF(J910&gt;=7,(MID(L911,1,1)&amp;MID(L911,2,4)+1),CELL("address",AD911))</f>
        <v>$AD$911</v>
      </c>
      <c r="N911" s="106" t="str">
        <f ca="1">IF(J910&gt;=8,(MID(M911,1,1)&amp;MID(M911,2,4)+1),CELL("address",AE911))</f>
        <v>$AE$911</v>
      </c>
      <c r="O911" s="106" t="str">
        <f ca="1">IF(J910&gt;=9,(MID(N911,1,1)&amp;MID(N911,2,4)+1),CELL("address",AF911))</f>
        <v>$AF$911</v>
      </c>
      <c r="P911" s="106" t="str">
        <f ca="1">IF(J910&gt;=10,(MID(O911,1,1)&amp;MID(O911,2,4)+1),CELL("address",AG911))</f>
        <v>$AG$911</v>
      </c>
      <c r="Q911" s="106" t="str">
        <f ca="1">IF(J910&gt;=11,(MID(P911,1,1)&amp;MID(P911,2,4)+1),CELL("address",AH911))</f>
        <v>$AH$911</v>
      </c>
      <c r="R911" s="106" t="str">
        <f ca="1">IF(J910&gt;=12,(MID(Q911,1,1)&amp;MID(Q911,2,4)+1),CELL("address",AI911))</f>
        <v>$AI$911</v>
      </c>
    </row>
    <row r="912" spans="1:8" ht="15" customHeight="1">
      <c r="A912" s="320"/>
      <c r="B912" s="320"/>
      <c r="C912" s="321"/>
      <c r="D912" s="46" t="s">
        <v>31</v>
      </c>
      <c r="E912" s="69">
        <v>0.125</v>
      </c>
      <c r="F912" s="166"/>
      <c r="G912" s="98" t="str">
        <f>CONCATENATE(D912," - ",E912,", ")</f>
        <v>Misc. Alumn. Scrap - 0.125, </v>
      </c>
      <c r="H912" s="110"/>
    </row>
    <row r="913" spans="1:8" ht="15" customHeight="1">
      <c r="A913" s="320"/>
      <c r="B913" s="320"/>
      <c r="C913" s="321"/>
      <c r="D913" s="41" t="s">
        <v>27</v>
      </c>
      <c r="E913" s="69">
        <v>0.061</v>
      </c>
      <c r="F913" s="166"/>
      <c r="G913" s="98" t="str">
        <f>CONCATENATE(D913," - ",E913,", ")</f>
        <v>Iron scrap - 0.061, </v>
      </c>
      <c r="H913" s="110"/>
    </row>
    <row r="914" spans="1:8" ht="15" customHeight="1">
      <c r="A914" s="36"/>
      <c r="B914" s="1"/>
      <c r="C914" s="1"/>
      <c r="D914" s="1"/>
      <c r="E914" s="1"/>
      <c r="F914" s="98"/>
      <c r="G914" s="98"/>
      <c r="H914" s="112"/>
    </row>
    <row r="915" spans="1:8" ht="15" customHeight="1">
      <c r="A915" s="332"/>
      <c r="B915" s="333"/>
      <c r="C915" s="67"/>
      <c r="D915" s="67"/>
      <c r="E915" s="134">
        <f>SUM(E917:E918)</f>
        <v>0.346</v>
      </c>
      <c r="F915" s="98"/>
      <c r="G915" s="98"/>
      <c r="H915" s="112"/>
    </row>
    <row r="916" spans="1:18" ht="15" customHeight="1">
      <c r="A916" s="320" t="s">
        <v>5</v>
      </c>
      <c r="B916" s="320"/>
      <c r="C916" s="65" t="s">
        <v>17</v>
      </c>
      <c r="D916" s="66" t="s">
        <v>18</v>
      </c>
      <c r="E916" s="69" t="s">
        <v>7</v>
      </c>
      <c r="F916" s="98"/>
      <c r="G916" s="99" t="str">
        <f>CONCATENATE("Misc. Healthy parts/ Non Ferrous  Scrap, Lying at ",C917,". Quantity in MT - ")</f>
        <v>Misc. Healthy parts/ Non Ferrous  Scrap, Lying at CS Ferozepur. Quantity in MT - </v>
      </c>
      <c r="H916" s="249" t="str">
        <f ca="1">CONCATENATE(G916,G917,(INDIRECT(I917)),(INDIRECT(J917)),(INDIRECT(K917)),(INDIRECT(L917)),(INDIRECT(M917)),(INDIRECT(N917)),(INDIRECT(O917)),(INDIRECT(P917)),(INDIRECT(Q917)),(INDIRECT(R917)),".")</f>
        <v>Misc. Healthy parts/ Non Ferrous  Scrap, Lying at CS Ferozepur. Quantity in MT - Misc. copper scrap - 0.174, All Alumn. Conductor Scrap - 0.172, .</v>
      </c>
      <c r="I916" s="106" t="str">
        <f aca="true" ca="1" t="array" ref="I916">CELL("address",INDEX(G916:G934,MATCH(TRUE,ISBLANK(G916:G934),0)))</f>
        <v>$G$919</v>
      </c>
      <c r="J916" s="106">
        <f aca="true" t="array" ref="J916">MATCH(TRUE,ISBLANK(G916:G934),0)</f>
        <v>4</v>
      </c>
      <c r="K916" s="106">
        <f>J916-3</f>
        <v>1</v>
      </c>
      <c r="L916" s="106"/>
      <c r="M916" s="106"/>
      <c r="N916" s="106"/>
      <c r="O916" s="106"/>
      <c r="P916" s="106"/>
      <c r="Q916" s="106"/>
      <c r="R916" s="106"/>
    </row>
    <row r="917" spans="1:18" ht="15" customHeight="1">
      <c r="A917" s="320" t="s">
        <v>251</v>
      </c>
      <c r="B917" s="320"/>
      <c r="C917" s="321" t="s">
        <v>99</v>
      </c>
      <c r="D917" s="61" t="s">
        <v>111</v>
      </c>
      <c r="E917" s="70">
        <v>0.174</v>
      </c>
      <c r="F917" s="98"/>
      <c r="G917" s="98" t="str">
        <f>CONCATENATE(D917," - ",E917,", ")</f>
        <v>Misc. copper scrap - 0.174, </v>
      </c>
      <c r="H917" s="249"/>
      <c r="I917" s="106" t="str">
        <f ca="1">IF(J916&gt;=3,(MID(I916,2,1)&amp;MID(I916,4,4)-K916),CELL("address",Z917))</f>
        <v>G918</v>
      </c>
      <c r="J917" s="106" t="str">
        <f ca="1">IF(J916&gt;=4,(MID(I917,1,1)&amp;MID(I917,2,4)+1),CELL("address",AA917))</f>
        <v>G919</v>
      </c>
      <c r="K917" s="106" t="str">
        <f ca="1">IF(J916&gt;=5,(MID(J917,1,1)&amp;MID(J917,2,4)+1),CELL("address",AB917))</f>
        <v>$AB$917</v>
      </c>
      <c r="L917" s="106" t="str">
        <f ca="1">IF(J916&gt;=6,(MID(K917,1,1)&amp;MID(K917,2,4)+1),CELL("address",AC917))</f>
        <v>$AC$917</v>
      </c>
      <c r="M917" s="106" t="str">
        <f ca="1">IF(J916&gt;=7,(MID(L917,1,1)&amp;MID(L917,2,4)+1),CELL("address",AD917))</f>
        <v>$AD$917</v>
      </c>
      <c r="N917" s="106" t="str">
        <f ca="1">IF(J916&gt;=8,(MID(M917,1,1)&amp;MID(M917,2,4)+1),CELL("address",AE917))</f>
        <v>$AE$917</v>
      </c>
      <c r="O917" s="106" t="str">
        <f ca="1">IF(J916&gt;=9,(MID(N917,1,1)&amp;MID(N917,2,4)+1),CELL("address",AF917))</f>
        <v>$AF$917</v>
      </c>
      <c r="P917" s="106" t="str">
        <f ca="1">IF(J916&gt;=10,(MID(O917,1,1)&amp;MID(O917,2,4)+1),CELL("address",AG917))</f>
        <v>$AG$917</v>
      </c>
      <c r="Q917" s="106" t="str">
        <f ca="1">IF(J916&gt;=11,(MID(P917,1,1)&amp;MID(P917,2,4)+1),CELL("address",AH917))</f>
        <v>$AH$917</v>
      </c>
      <c r="R917" s="106" t="str">
        <f ca="1">IF(J916&gt;=12,(MID(Q917,1,1)&amp;MID(Q917,2,4)+1),CELL("address",AI917))</f>
        <v>$AI$917</v>
      </c>
    </row>
    <row r="918" spans="1:18" ht="15" customHeight="1">
      <c r="A918" s="320"/>
      <c r="B918" s="320"/>
      <c r="C918" s="321"/>
      <c r="D918" s="35" t="s">
        <v>32</v>
      </c>
      <c r="E918" s="293">
        <v>0.172</v>
      </c>
      <c r="F918" s="98" t="s">
        <v>322</v>
      </c>
      <c r="G918" s="98" t="str">
        <f>CONCATENATE(D918," - ",E918,", ")</f>
        <v>All Alumn. Conductor Scrap - 0.172, </v>
      </c>
      <c r="H918" s="250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</row>
    <row r="919" spans="1:8" ht="15" customHeight="1">
      <c r="A919" s="36"/>
      <c r="B919" s="1"/>
      <c r="C919" s="1"/>
      <c r="D919" s="1"/>
      <c r="E919" s="1"/>
      <c r="F919" s="98"/>
      <c r="G919" s="98"/>
      <c r="H919" s="108"/>
    </row>
    <row r="920" spans="1:8" ht="15" customHeight="1">
      <c r="A920" s="332"/>
      <c r="B920" s="333"/>
      <c r="C920" s="67"/>
      <c r="D920" s="67"/>
      <c r="E920" s="134">
        <f>SUM(E922:E925)</f>
        <v>0.23000000000000004</v>
      </c>
      <c r="F920" s="98"/>
      <c r="G920" s="98"/>
      <c r="H920" s="108"/>
    </row>
    <row r="921" spans="1:18" ht="15" customHeight="1">
      <c r="A921" s="320" t="s">
        <v>5</v>
      </c>
      <c r="B921" s="320"/>
      <c r="C921" s="65" t="s">
        <v>17</v>
      </c>
      <c r="D921" s="66" t="s">
        <v>18</v>
      </c>
      <c r="E921" s="69" t="s">
        <v>7</v>
      </c>
      <c r="F921" s="98"/>
      <c r="G921" s="99" t="str">
        <f>CONCATENATE("Misc. Healthy parts/ Non Ferrous  Scrap, Lying at ",C922,". Quantity in MT - ")</f>
        <v>Misc. Healthy parts/ Non Ferrous  Scrap, Lying at TRY Barnala. Quantity in MT - </v>
      </c>
      <c r="H921" s="249" t="str">
        <f ca="1">CONCATENATE(G921,G922,(INDIRECT(I922)),(INDIRECT(J922)),(INDIRECT(K922)),(INDIRECT(L922)),(INDIRECT(M922)),(INDIRECT(N922)),(INDIRECT(O922)),(INDIRECT(P922)),(INDIRECT(Q922)),(INDIRECT(R922)),".")</f>
        <v>Misc. Healthy parts/ Non Ferrous  Scrap, Lying at TRY Barnala. Quantity in MT - Brass scrap - 0.2, Misc. Alumn. Scrap - 0.011, Iron scrap - 0.011, Burnt Cu scrap - 0.008, .</v>
      </c>
      <c r="I921" s="106" t="str">
        <f aca="true" ca="1" t="array" ref="I921">CELL("address",INDEX(G921:G934,MATCH(TRUE,ISBLANK(G921:G934),0)))</f>
        <v>$G$926</v>
      </c>
      <c r="J921" s="106">
        <f aca="true" t="array" ref="J921">MATCH(TRUE,ISBLANK(G921:G934),0)</f>
        <v>6</v>
      </c>
      <c r="K921" s="106">
        <f>J921-3</f>
        <v>3</v>
      </c>
      <c r="L921" s="106"/>
      <c r="M921" s="106"/>
      <c r="N921" s="106"/>
      <c r="O921" s="106"/>
      <c r="P921" s="106"/>
      <c r="Q921" s="106"/>
      <c r="R921" s="106"/>
    </row>
    <row r="922" spans="1:18" ht="15" customHeight="1">
      <c r="A922" s="320" t="s">
        <v>267</v>
      </c>
      <c r="B922" s="320"/>
      <c r="C922" s="321" t="s">
        <v>333</v>
      </c>
      <c r="D922" s="46" t="s">
        <v>23</v>
      </c>
      <c r="E922" s="135">
        <v>0.2</v>
      </c>
      <c r="F922" s="98"/>
      <c r="G922" s="98" t="str">
        <f>CONCATENATE(D922," - ",E922,", ")</f>
        <v>Brass scrap - 0.2, </v>
      </c>
      <c r="H922" s="249"/>
      <c r="I922" s="106" t="str">
        <f ca="1">IF(J921&gt;=3,(MID(I921,2,1)&amp;MID(I921,4,4)-K921),CELL("address",Z922))</f>
        <v>G923</v>
      </c>
      <c r="J922" s="106" t="str">
        <f ca="1">IF(J921&gt;=4,(MID(I922,1,1)&amp;MID(I922,2,4)+1),CELL("address",AA922))</f>
        <v>G924</v>
      </c>
      <c r="K922" s="106" t="str">
        <f ca="1">IF(J921&gt;=5,(MID(J922,1,1)&amp;MID(J922,2,4)+1),CELL("address",AB922))</f>
        <v>G925</v>
      </c>
      <c r="L922" s="106" t="str">
        <f ca="1">IF(J921&gt;=6,(MID(K922,1,1)&amp;MID(K922,2,4)+1),CELL("address",AC922))</f>
        <v>G926</v>
      </c>
      <c r="M922" s="106" t="str">
        <f ca="1">IF(J921&gt;=7,(MID(L922,1,1)&amp;MID(L922,2,4)+1),CELL("address",AD922))</f>
        <v>$AD$922</v>
      </c>
      <c r="N922" s="106" t="str">
        <f ca="1">IF(J921&gt;=8,(MID(M922,1,1)&amp;MID(M922,2,4)+1),CELL("address",AE922))</f>
        <v>$AE$922</v>
      </c>
      <c r="O922" s="106" t="str">
        <f ca="1">IF(J921&gt;=9,(MID(N922,1,1)&amp;MID(N922,2,4)+1),CELL("address",AF922))</f>
        <v>$AF$922</v>
      </c>
      <c r="P922" s="106" t="str">
        <f ca="1">IF(J921&gt;=10,(MID(O922,1,1)&amp;MID(O922,2,4)+1),CELL("address",AG922))</f>
        <v>$AG$922</v>
      </c>
      <c r="Q922" s="106" t="str">
        <f ca="1">IF(J921&gt;=11,(MID(P922,1,1)&amp;MID(P922,2,4)+1),CELL("address",AH922))</f>
        <v>$AH$922</v>
      </c>
      <c r="R922" s="106" t="str">
        <f ca="1">IF(J921&gt;=12,(MID(Q922,1,1)&amp;MID(Q922,2,4)+1),CELL("address",AI922))</f>
        <v>$AI$922</v>
      </c>
    </row>
    <row r="923" spans="1:8" ht="15" customHeight="1">
      <c r="A923" s="320"/>
      <c r="B923" s="320"/>
      <c r="C923" s="321"/>
      <c r="D923" s="46" t="s">
        <v>31</v>
      </c>
      <c r="E923" s="69">
        <v>0.011</v>
      </c>
      <c r="F923" s="98"/>
      <c r="G923" s="98" t="str">
        <f>CONCATENATE(D923," - ",E923,", ")</f>
        <v>Misc. Alumn. Scrap - 0.011, </v>
      </c>
      <c r="H923" s="112"/>
    </row>
    <row r="924" spans="1:8" ht="15" customHeight="1">
      <c r="A924" s="320"/>
      <c r="B924" s="320"/>
      <c r="C924" s="321"/>
      <c r="D924" s="41" t="s">
        <v>27</v>
      </c>
      <c r="E924" s="69">
        <v>0.011</v>
      </c>
      <c r="F924" s="98"/>
      <c r="G924" s="98" t="str">
        <f>CONCATENATE(D924," - ",E924,", ")</f>
        <v>Iron scrap - 0.011, </v>
      </c>
      <c r="H924" s="112"/>
    </row>
    <row r="925" spans="1:8" ht="15" customHeight="1">
      <c r="A925" s="320"/>
      <c r="B925" s="320"/>
      <c r="C925" s="321"/>
      <c r="D925" s="41" t="s">
        <v>37</v>
      </c>
      <c r="E925" s="176">
        <v>0.008</v>
      </c>
      <c r="F925" s="98"/>
      <c r="G925" s="98" t="str">
        <f>CONCATENATE(D925," - ",E925,", ")</f>
        <v>Burnt Cu scrap - 0.008, </v>
      </c>
      <c r="H925" s="112"/>
    </row>
    <row r="926" spans="1:8" ht="15" customHeight="1">
      <c r="A926" s="36"/>
      <c r="B926" s="1"/>
      <c r="C926" s="1"/>
      <c r="D926" s="1"/>
      <c r="E926" s="1"/>
      <c r="F926" s="98"/>
      <c r="G926" s="98"/>
      <c r="H926" s="112"/>
    </row>
    <row r="927" spans="1:8" ht="15" customHeight="1">
      <c r="A927" s="332"/>
      <c r="B927" s="333"/>
      <c r="C927" s="67"/>
      <c r="D927" s="67"/>
      <c r="E927" s="134">
        <f>SUM(E929:E933)</f>
        <v>2.958</v>
      </c>
      <c r="F927" s="98"/>
      <c r="G927" s="98"/>
      <c r="H927" s="112"/>
    </row>
    <row r="928" spans="1:18" ht="24" customHeight="1">
      <c r="A928" s="320" t="s">
        <v>5</v>
      </c>
      <c r="B928" s="320"/>
      <c r="C928" s="65" t="s">
        <v>17</v>
      </c>
      <c r="D928" s="66" t="s">
        <v>18</v>
      </c>
      <c r="E928" s="69" t="s">
        <v>7</v>
      </c>
      <c r="F928" s="98"/>
      <c r="G928" s="99" t="str">
        <f>CONCATENATE("Misc. Healthy parts/ Non Ferrous  Scrap, Lying at ",C929,". Quantity in MT - ")</f>
        <v>Misc. Healthy parts/ Non Ferrous  Scrap, Lying at TRY Sangrur. Quantity in MT - </v>
      </c>
      <c r="H928" s="249" t="str">
        <f ca="1">CONCATENATE(G928,G929,(INDIRECT(I929)),(INDIRECT(J929)),(INDIRECT(K929)),(INDIRECT(L929)),(INDIRECT(M929)),(INDIRECT(N929)),(INDIRECT(O929)),(INDIRECT(P929)),(INDIRECT(Q929)),(INDIRECT(R929)),".")</f>
        <v>Misc. Healthy parts/ Non Ferrous  Scrap, Lying at TRY Sangrur. Quantity in MT - Brass scrap - 1.56, Misc. Alumn. Scrap - 0.125, Burnt Cu scrap - 0.043, Iron scrap - 0.177, Nuts &amp; Bolts scrap - 1.053, .</v>
      </c>
      <c r="I928" s="106" t="str">
        <f aca="true" ca="1" t="array" ref="I928">CELL("address",INDEX(G928:G942,MATCH(TRUE,ISBLANK(G928:G942),0)))</f>
        <v>$G$934</v>
      </c>
      <c r="J928" s="106">
        <f aca="true" t="array" ref="J928">MATCH(TRUE,ISBLANK(G928:G942),0)</f>
        <v>7</v>
      </c>
      <c r="K928" s="106">
        <f>J928-3</f>
        <v>4</v>
      </c>
      <c r="L928" s="106"/>
      <c r="M928" s="106"/>
      <c r="N928" s="106"/>
      <c r="O928" s="106"/>
      <c r="P928" s="106"/>
      <c r="Q928" s="106"/>
      <c r="R928" s="106"/>
    </row>
    <row r="929" spans="1:18" ht="15" customHeight="1">
      <c r="A929" s="320" t="s">
        <v>272</v>
      </c>
      <c r="B929" s="320"/>
      <c r="C929" s="321" t="s">
        <v>135</v>
      </c>
      <c r="D929" s="46" t="s">
        <v>23</v>
      </c>
      <c r="E929" s="210">
        <v>1.56</v>
      </c>
      <c r="F929" s="98"/>
      <c r="G929" s="98" t="str">
        <f>CONCATENATE(D929," - ",E929,", ")</f>
        <v>Brass scrap - 1.56, </v>
      </c>
      <c r="H929" s="249"/>
      <c r="I929" s="106" t="str">
        <f ca="1">IF(J928&gt;=3,(MID(I928,2,1)&amp;MID(I928,4,4)-K928),CELL("address",Z929))</f>
        <v>G930</v>
      </c>
      <c r="J929" s="106" t="str">
        <f ca="1">IF(J928&gt;=4,(MID(I929,1,1)&amp;MID(I929,2,4)+1),CELL("address",AA929))</f>
        <v>G931</v>
      </c>
      <c r="K929" s="106" t="str">
        <f ca="1">IF(J928&gt;=5,(MID(J929,1,1)&amp;MID(J929,2,4)+1),CELL("address",AB929))</f>
        <v>G932</v>
      </c>
      <c r="L929" s="106" t="str">
        <f ca="1">IF(J928&gt;=6,(MID(K929,1,1)&amp;MID(K929,2,4)+1),CELL("address",AC929))</f>
        <v>G933</v>
      </c>
      <c r="M929" s="106" t="str">
        <f ca="1">IF(J928&gt;=7,(MID(L929,1,1)&amp;MID(L929,2,4)+1),CELL("address",AD929))</f>
        <v>G934</v>
      </c>
      <c r="N929" s="106" t="str">
        <f ca="1">IF(J928&gt;=8,(MID(M929,1,1)&amp;MID(M929,2,4)+1),CELL("address",AE929))</f>
        <v>$AE$929</v>
      </c>
      <c r="O929" s="106" t="str">
        <f ca="1">IF(J928&gt;=9,(MID(N929,1,1)&amp;MID(N929,2,4)+1),CELL("address",AF929))</f>
        <v>$AF$929</v>
      </c>
      <c r="P929" s="106" t="str">
        <f ca="1">IF(J928&gt;=10,(MID(O929,1,1)&amp;MID(O929,2,4)+1),CELL("address",AG929))</f>
        <v>$AG$929</v>
      </c>
      <c r="Q929" s="106" t="str">
        <f ca="1">IF(J928&gt;=11,(MID(P929,1,1)&amp;MID(P929,2,4)+1),CELL("address",AH929))</f>
        <v>$AH$929</v>
      </c>
      <c r="R929" s="106" t="str">
        <f ca="1">IF(J928&gt;=12,(MID(Q929,1,1)&amp;MID(Q929,2,4)+1),CELL("address",AI929))</f>
        <v>$AI$929</v>
      </c>
    </row>
    <row r="930" spans="1:8" ht="15" customHeight="1">
      <c r="A930" s="320"/>
      <c r="B930" s="320"/>
      <c r="C930" s="321"/>
      <c r="D930" s="46" t="s">
        <v>31</v>
      </c>
      <c r="E930" s="176">
        <v>0.125</v>
      </c>
      <c r="F930" s="98"/>
      <c r="G930" s="98" t="str">
        <f>CONCATENATE(D930," - ",E930,", ")</f>
        <v>Misc. Alumn. Scrap - 0.125, </v>
      </c>
      <c r="H930" s="112"/>
    </row>
    <row r="931" spans="1:8" ht="15" customHeight="1">
      <c r="A931" s="320"/>
      <c r="B931" s="320"/>
      <c r="C931" s="321"/>
      <c r="D931" s="41" t="s">
        <v>37</v>
      </c>
      <c r="E931" s="176">
        <v>0.043</v>
      </c>
      <c r="F931" s="98"/>
      <c r="G931" s="98" t="str">
        <f>CONCATENATE(D931," - ",E931,", ")</f>
        <v>Burnt Cu scrap - 0.043, </v>
      </c>
      <c r="H931" s="112"/>
    </row>
    <row r="932" spans="1:8" ht="15" customHeight="1">
      <c r="A932" s="320"/>
      <c r="B932" s="320"/>
      <c r="C932" s="321"/>
      <c r="D932" s="41" t="s">
        <v>27</v>
      </c>
      <c r="E932" s="176">
        <v>0.177</v>
      </c>
      <c r="F932" s="98"/>
      <c r="G932" s="98" t="str">
        <f>CONCATENATE(D932," - ",E932,", ")</f>
        <v>Iron scrap - 0.177, </v>
      </c>
      <c r="H932" s="112"/>
    </row>
    <row r="933" spans="1:8" ht="15" customHeight="1">
      <c r="A933" s="320"/>
      <c r="B933" s="320"/>
      <c r="C933" s="321"/>
      <c r="D933" s="41" t="s">
        <v>58</v>
      </c>
      <c r="E933" s="176">
        <v>1.053</v>
      </c>
      <c r="F933" s="98"/>
      <c r="G933" s="98" t="str">
        <f>CONCATENATE(D933," - ",E933,", ")</f>
        <v>Nuts &amp; Bolts scrap - 1.053, </v>
      </c>
      <c r="H933" s="112"/>
    </row>
    <row r="934" spans="1:8" ht="15" customHeight="1">
      <c r="A934" s="1"/>
      <c r="B934" s="1"/>
      <c r="C934" s="1"/>
      <c r="D934" s="1"/>
      <c r="E934" s="1"/>
      <c r="F934" s="98"/>
      <c r="G934" s="98"/>
      <c r="H934" s="112"/>
    </row>
    <row r="935" spans="1:8" ht="15" customHeight="1">
      <c r="A935" s="332"/>
      <c r="B935" s="333"/>
      <c r="C935" s="67"/>
      <c r="D935" s="67"/>
      <c r="E935" s="134">
        <f>SUM(E937:E938)</f>
        <v>0.649</v>
      </c>
      <c r="F935" s="101"/>
      <c r="G935" s="101"/>
      <c r="H935" s="287"/>
    </row>
    <row r="936" spans="1:18" ht="15" customHeight="1">
      <c r="A936" s="320" t="s">
        <v>5</v>
      </c>
      <c r="B936" s="320"/>
      <c r="C936" s="65" t="s">
        <v>17</v>
      </c>
      <c r="D936" s="66" t="s">
        <v>18</v>
      </c>
      <c r="E936" s="69" t="s">
        <v>7</v>
      </c>
      <c r="F936" s="101"/>
      <c r="G936" s="99" t="str">
        <f>CONCATENATE("Misc. Healthy parts/ Non Ferrous  Scrap, Lying at ",C937,". Quantity in MT - ")</f>
        <v>Misc. Healthy parts/ Non Ferrous  Scrap, Lying at TRY Patiala. Quantity in MT - </v>
      </c>
      <c r="H936" s="116" t="str">
        <f ca="1">CONCATENATE(G936,G937,(INDIRECT(I937)),(INDIRECT(J937)),(INDIRECT(K937)),(INDIRECT(L937)),(INDIRECT(M937)),(INDIRECT(N937)),(INDIRECT(O937)),(INDIRECT(P937)),(INDIRECT(Q937)),(INDIRECT(R937)),".")</f>
        <v>Misc. Healthy parts/ Non Ferrous  Scrap, Lying at TRY Patiala. Quantity in MT - Brass scrap - 0.61, Misc. Alumn. Scrap - 0.039, .</v>
      </c>
      <c r="I936" s="106" t="str">
        <f aca="true" ca="1" t="array" ref="I936">CELL("address",INDEX(G936:G955,MATCH(TRUE,ISBLANK(G936:G955),0)))</f>
        <v>$G$939</v>
      </c>
      <c r="J936" s="106">
        <f aca="true" t="array" ref="J936">MATCH(TRUE,ISBLANK(G936:G955),0)</f>
        <v>4</v>
      </c>
      <c r="K936" s="106">
        <f>J936-3</f>
        <v>1</v>
      </c>
      <c r="L936" s="106"/>
      <c r="M936" s="106"/>
      <c r="N936" s="106"/>
      <c r="O936" s="106"/>
      <c r="P936" s="106"/>
      <c r="Q936" s="106"/>
      <c r="R936" s="106"/>
    </row>
    <row r="937" spans="1:18" ht="15" customHeight="1">
      <c r="A937" s="320" t="s">
        <v>473</v>
      </c>
      <c r="B937" s="320"/>
      <c r="C937" s="321" t="s">
        <v>120</v>
      </c>
      <c r="D937" s="35" t="s">
        <v>23</v>
      </c>
      <c r="E937" s="247">
        <v>0.61</v>
      </c>
      <c r="F937" s="101" t="s">
        <v>322</v>
      </c>
      <c r="G937" s="98" t="str">
        <f>CONCATENATE(D937," - ",E937,", ")</f>
        <v>Brass scrap - 0.61, </v>
      </c>
      <c r="H937" s="116"/>
      <c r="I937" s="106" t="str">
        <f ca="1">IF(J936&gt;=3,(MID(I936,2,1)&amp;MID(I936,4,4)-K936),CELL("address",Z937))</f>
        <v>G938</v>
      </c>
      <c r="J937" s="106" t="str">
        <f ca="1">IF(J936&gt;=4,(MID(I937,1,1)&amp;MID(I937,2,4)+1),CELL("address",AA937))</f>
        <v>G939</v>
      </c>
      <c r="K937" s="106" t="str">
        <f ca="1">IF(J936&gt;=5,(MID(J937,1,1)&amp;MID(J937,2,4)+1),CELL("address",AB937))</f>
        <v>$AB$937</v>
      </c>
      <c r="L937" s="106" t="str">
        <f ca="1">IF(J936&gt;=6,(MID(K937,1,1)&amp;MID(K937,2,4)+1),CELL("address",AC937))</f>
        <v>$AC$937</v>
      </c>
      <c r="M937" s="106" t="str">
        <f ca="1">IF(J936&gt;=7,(MID(L937,1,1)&amp;MID(L937,2,4)+1),CELL("address",AD937))</f>
        <v>$AD$937</v>
      </c>
      <c r="N937" s="106" t="str">
        <f ca="1">IF(J936&gt;=8,(MID(M937,1,1)&amp;MID(M937,2,4)+1),CELL("address",AE937))</f>
        <v>$AE$937</v>
      </c>
      <c r="O937" s="106" t="str">
        <f ca="1">IF(J936&gt;=9,(MID(N937,1,1)&amp;MID(N937,2,4)+1),CELL("address",AF937))</f>
        <v>$AF$937</v>
      </c>
      <c r="P937" s="106" t="str">
        <f ca="1">IF(J936&gt;=10,(MID(O937,1,1)&amp;MID(O937,2,4)+1),CELL("address",AG937))</f>
        <v>$AG$937</v>
      </c>
      <c r="Q937" s="106" t="str">
        <f ca="1">IF(J936&gt;=11,(MID(P937,1,1)&amp;MID(P937,2,4)+1),CELL("address",AH937))</f>
        <v>$AH$937</v>
      </c>
      <c r="R937" s="106" t="str">
        <f ca="1">IF(J936&gt;=12,(MID(Q937,1,1)&amp;MID(Q937,2,4)+1),CELL("address",AI937))</f>
        <v>$AI$937</v>
      </c>
    </row>
    <row r="938" spans="1:8" ht="15" customHeight="1">
      <c r="A938" s="320"/>
      <c r="B938" s="320"/>
      <c r="C938" s="321"/>
      <c r="D938" s="35" t="s">
        <v>31</v>
      </c>
      <c r="E938" s="248">
        <v>0.039</v>
      </c>
      <c r="F938" s="101" t="s">
        <v>322</v>
      </c>
      <c r="G938" s="98" t="str">
        <f>CONCATENATE(D938," - ",E938,", ")</f>
        <v>Misc. Alumn. Scrap - 0.039, </v>
      </c>
      <c r="H938" s="287"/>
    </row>
    <row r="939" spans="1:8" ht="11.25" customHeight="1">
      <c r="A939" s="1"/>
      <c r="B939" s="1"/>
      <c r="C939" s="1"/>
      <c r="D939" s="1"/>
      <c r="E939" s="1"/>
      <c r="H939" s="108"/>
    </row>
    <row r="940" spans="1:8" ht="11.25" customHeight="1">
      <c r="A940" s="1"/>
      <c r="B940" s="1"/>
      <c r="C940" s="1"/>
      <c r="D940" s="1"/>
      <c r="E940" s="1"/>
      <c r="H940" s="108"/>
    </row>
    <row r="941" spans="1:8" ht="11.25" customHeight="1">
      <c r="A941" s="1"/>
      <c r="B941" s="1"/>
      <c r="C941" s="1"/>
      <c r="D941" s="1"/>
      <c r="E941" s="1"/>
      <c r="H941" s="108"/>
    </row>
    <row r="942" spans="1:8" ht="11.25" customHeight="1">
      <c r="A942" s="1"/>
      <c r="B942" s="1"/>
      <c r="C942" s="1"/>
      <c r="D942" s="1"/>
      <c r="E942" s="1"/>
      <c r="H942" s="108"/>
    </row>
    <row r="943" spans="1:8" ht="11.25" customHeight="1">
      <c r="A943" s="1"/>
      <c r="B943" s="1"/>
      <c r="C943" s="1"/>
      <c r="D943" s="1"/>
      <c r="E943" s="1"/>
      <c r="H943" s="108"/>
    </row>
    <row r="944" spans="1:8" ht="11.25" customHeight="1">
      <c r="A944" s="1"/>
      <c r="B944" s="1"/>
      <c r="C944" s="1"/>
      <c r="D944" s="1"/>
      <c r="E944" s="1"/>
      <c r="H944" s="108"/>
    </row>
    <row r="945" spans="1:8" ht="11.25" customHeight="1">
      <c r="A945" s="1"/>
      <c r="B945" s="1"/>
      <c r="C945" s="1"/>
      <c r="D945" s="1"/>
      <c r="E945" s="1"/>
      <c r="H945" s="108"/>
    </row>
    <row r="946" spans="1:8" ht="11.25" customHeight="1">
      <c r="A946" s="1"/>
      <c r="B946" s="1"/>
      <c r="C946" s="1"/>
      <c r="D946" s="1"/>
      <c r="E946" s="1"/>
      <c r="H946" s="108"/>
    </row>
    <row r="947" spans="1:8" ht="11.25" customHeight="1">
      <c r="A947" s="1"/>
      <c r="B947" s="1"/>
      <c r="C947" s="1"/>
      <c r="D947" s="1"/>
      <c r="E947" s="1"/>
      <c r="H947" s="108"/>
    </row>
    <row r="948" spans="1:8" ht="15" customHeight="1">
      <c r="A948" s="1"/>
      <c r="B948" s="1"/>
      <c r="C948" s="1"/>
      <c r="D948" s="1"/>
      <c r="E948" s="1"/>
      <c r="H948" s="108"/>
    </row>
    <row r="949" spans="1:8" ht="15" customHeight="1">
      <c r="A949" s="1"/>
      <c r="B949" s="1"/>
      <c r="C949" s="1"/>
      <c r="D949" s="1"/>
      <c r="E949" s="1"/>
      <c r="H949" s="108"/>
    </row>
    <row r="950" spans="1:8" ht="15" customHeight="1">
      <c r="A950" s="1"/>
      <c r="B950" s="1"/>
      <c r="C950" s="1"/>
      <c r="D950" s="1"/>
      <c r="E950" s="1"/>
      <c r="H950" s="108"/>
    </row>
    <row r="951" spans="1:8" ht="15" customHeight="1">
      <c r="A951" s="1"/>
      <c r="B951" s="1"/>
      <c r="C951" s="1"/>
      <c r="D951" s="1"/>
      <c r="E951" s="1"/>
      <c r="H951" s="108"/>
    </row>
    <row r="952" spans="1:8" ht="15" customHeight="1">
      <c r="A952" s="1"/>
      <c r="B952" s="1"/>
      <c r="C952" s="1"/>
      <c r="D952" s="1"/>
      <c r="E952" s="1"/>
      <c r="H952" s="108"/>
    </row>
    <row r="953" spans="1:8" ht="15" customHeight="1">
      <c r="A953" s="1"/>
      <c r="B953" s="1"/>
      <c r="C953" s="1"/>
      <c r="D953" s="1"/>
      <c r="E953" s="1"/>
      <c r="H953" s="108"/>
    </row>
    <row r="954" spans="1:8" ht="34.5" customHeight="1">
      <c r="A954" s="1"/>
      <c r="B954" s="1"/>
      <c r="C954" s="1"/>
      <c r="D954" s="1"/>
      <c r="E954" s="1"/>
      <c r="H954" s="108"/>
    </row>
    <row r="955" spans="1:8" ht="28.5" customHeight="1">
      <c r="A955" s="1"/>
      <c r="B955" s="1"/>
      <c r="C955" s="1"/>
      <c r="D955" s="1"/>
      <c r="E955" s="1"/>
      <c r="H955" s="108"/>
    </row>
    <row r="956" spans="1:8" ht="15" customHeight="1">
      <c r="A956" s="1"/>
      <c r="B956" s="1"/>
      <c r="C956" s="1"/>
      <c r="D956" s="1"/>
      <c r="E956" s="1"/>
      <c r="H956" s="108"/>
    </row>
    <row r="957" spans="1:8" ht="15" customHeight="1">
      <c r="A957" s="1"/>
      <c r="B957" s="1"/>
      <c r="C957" s="1"/>
      <c r="D957" s="1"/>
      <c r="E957" s="1"/>
      <c r="H957" s="108"/>
    </row>
    <row r="958" spans="1:8" ht="15" customHeight="1">
      <c r="A958" s="1"/>
      <c r="B958" s="1"/>
      <c r="C958" s="1"/>
      <c r="D958" s="1"/>
      <c r="E958" s="1"/>
      <c r="H958" s="108"/>
    </row>
    <row r="959" spans="1:8" ht="15" customHeight="1">
      <c r="A959" s="1"/>
      <c r="B959" s="1"/>
      <c r="C959" s="1"/>
      <c r="D959" s="1"/>
      <c r="E959" s="1"/>
      <c r="H959" s="108"/>
    </row>
    <row r="960" spans="1:8" ht="15" customHeight="1">
      <c r="A960" s="1"/>
      <c r="B960" s="1"/>
      <c r="C960" s="1"/>
      <c r="D960" s="1"/>
      <c r="E960" s="1"/>
      <c r="H960" s="108"/>
    </row>
    <row r="961" spans="1:8" ht="15" customHeight="1">
      <c r="A961" s="1"/>
      <c r="B961" s="1"/>
      <c r="C961" s="1"/>
      <c r="D961" s="1"/>
      <c r="E961" s="1"/>
      <c r="H961" s="108"/>
    </row>
    <row r="962" spans="1:8" ht="15" customHeight="1">
      <c r="A962" s="1"/>
      <c r="B962" s="1"/>
      <c r="C962" s="1"/>
      <c r="D962" s="1"/>
      <c r="E962" s="1"/>
      <c r="H962" s="108"/>
    </row>
    <row r="963" spans="1:8" ht="15" customHeight="1">
      <c r="A963" s="1"/>
      <c r="B963" s="1"/>
      <c r="C963" s="1"/>
      <c r="D963" s="1"/>
      <c r="E963" s="1"/>
      <c r="H963" s="108"/>
    </row>
    <row r="964" spans="1:8" ht="15" customHeight="1">
      <c r="A964" s="1"/>
      <c r="B964" s="1"/>
      <c r="C964" s="1"/>
      <c r="D964" s="1"/>
      <c r="E964" s="1"/>
      <c r="H964" s="108"/>
    </row>
    <row r="965" spans="1:8" ht="15" customHeight="1">
      <c r="A965" s="1"/>
      <c r="B965" s="1"/>
      <c r="C965" s="1"/>
      <c r="D965" s="1"/>
      <c r="E965" s="1"/>
      <c r="H965" s="108"/>
    </row>
    <row r="966" spans="1:8" ht="15" customHeight="1">
      <c r="A966" s="1"/>
      <c r="B966" s="1"/>
      <c r="C966" s="1"/>
      <c r="D966" s="1"/>
      <c r="E966" s="1"/>
      <c r="H966" s="108"/>
    </row>
    <row r="967" spans="1:8" ht="15" customHeight="1">
      <c r="A967" s="1"/>
      <c r="B967" s="1"/>
      <c r="C967" s="1"/>
      <c r="D967" s="1"/>
      <c r="E967" s="1"/>
      <c r="H967" s="108"/>
    </row>
    <row r="968" spans="1:8" ht="15" customHeight="1">
      <c r="A968" s="1"/>
      <c r="B968" s="1"/>
      <c r="C968" s="1"/>
      <c r="D968" s="1"/>
      <c r="E968" s="1"/>
      <c r="H968" s="108"/>
    </row>
    <row r="969" spans="1:8" ht="15" customHeight="1">
      <c r="A969" s="1"/>
      <c r="B969" s="1"/>
      <c r="C969" s="1"/>
      <c r="D969" s="1"/>
      <c r="E969" s="1"/>
      <c r="H969" s="108"/>
    </row>
    <row r="970" spans="1:8" ht="15" customHeight="1">
      <c r="A970" s="1"/>
      <c r="B970" s="1"/>
      <c r="C970" s="1"/>
      <c r="D970" s="1"/>
      <c r="E970" s="1"/>
      <c r="H970" s="108"/>
    </row>
    <row r="971" spans="1:5" ht="15" customHeight="1">
      <c r="A971" s="1"/>
      <c r="B971" s="1"/>
      <c r="C971" s="1"/>
      <c r="D971" s="1"/>
      <c r="E971" s="1"/>
    </row>
    <row r="972" spans="1:5" ht="15" customHeight="1">
      <c r="A972" s="1"/>
      <c r="B972" s="1"/>
      <c r="C972" s="1"/>
      <c r="D972" s="1"/>
      <c r="E972" s="1"/>
    </row>
    <row r="973" spans="1:5" ht="15" customHeight="1">
      <c r="A973" s="1"/>
      <c r="B973" s="1"/>
      <c r="C973" s="1"/>
      <c r="D973" s="1"/>
      <c r="E973" s="1"/>
    </row>
    <row r="974" spans="1:5" ht="15" customHeight="1">
      <c r="A974" s="1"/>
      <c r="B974" s="1"/>
      <c r="C974" s="1"/>
      <c r="D974" s="1"/>
      <c r="E974" s="1"/>
    </row>
    <row r="975" spans="1:5" ht="15" customHeight="1">
      <c r="A975" s="1"/>
      <c r="B975" s="1"/>
      <c r="C975" s="1"/>
      <c r="D975" s="1"/>
      <c r="E975" s="1"/>
    </row>
    <row r="976" spans="1:5" ht="15" customHeight="1">
      <c r="A976" s="1"/>
      <c r="B976" s="1"/>
      <c r="C976" s="1"/>
      <c r="D976" s="1"/>
      <c r="E976" s="1"/>
    </row>
    <row r="977" spans="1:5" ht="15" customHeight="1">
      <c r="A977" s="1"/>
      <c r="B977" s="1"/>
      <c r="C977" s="1"/>
      <c r="D977" s="1"/>
      <c r="E977" s="1"/>
    </row>
    <row r="978" spans="1:5" ht="15.75" customHeight="1">
      <c r="A978" s="1"/>
      <c r="B978" s="1"/>
      <c r="C978" s="1"/>
      <c r="D978" s="1"/>
      <c r="E978" s="1"/>
    </row>
    <row r="979" spans="1:5" ht="15.75" customHeight="1">
      <c r="A979" s="1"/>
      <c r="B979" s="1"/>
      <c r="C979" s="1"/>
      <c r="D979" s="1"/>
      <c r="E979" s="1"/>
    </row>
    <row r="980" spans="1:5" ht="15.75" customHeight="1">
      <c r="A980" s="1"/>
      <c r="B980" s="1"/>
      <c r="C980" s="1"/>
      <c r="D980" s="1"/>
      <c r="E980" s="1"/>
    </row>
    <row r="981" spans="1:5" ht="15" customHeight="1">
      <c r="A981" s="1"/>
      <c r="B981" s="1"/>
      <c r="C981" s="1"/>
      <c r="D981" s="1"/>
      <c r="E981" s="1"/>
    </row>
    <row r="982" spans="1:5" ht="15" customHeight="1">
      <c r="A982" s="1"/>
      <c r="B982" s="1"/>
      <c r="C982" s="1"/>
      <c r="D982" s="1"/>
      <c r="E982" s="1"/>
    </row>
    <row r="983" spans="1:5" ht="15" customHeight="1">
      <c r="A983" s="1"/>
      <c r="B983" s="1"/>
      <c r="C983" s="1"/>
      <c r="D983" s="1"/>
      <c r="E983" s="1"/>
    </row>
    <row r="984" spans="1:5" ht="15" customHeight="1">
      <c r="A984" s="1"/>
      <c r="B984" s="1"/>
      <c r="C984" s="1"/>
      <c r="D984" s="1"/>
      <c r="E984" s="1"/>
    </row>
    <row r="985" spans="1:5" ht="15" customHeight="1">
      <c r="A985" s="1"/>
      <c r="B985" s="1"/>
      <c r="C985" s="1"/>
      <c r="D985" s="1"/>
      <c r="E985" s="1"/>
    </row>
    <row r="986" spans="1:5" ht="15" customHeight="1">
      <c r="A986" s="1"/>
      <c r="B986" s="1"/>
      <c r="C986" s="1"/>
      <c r="D986" s="1"/>
      <c r="E986" s="1"/>
    </row>
    <row r="987" spans="1:5" ht="15" customHeight="1">
      <c r="A987" s="1"/>
      <c r="B987" s="1"/>
      <c r="C987" s="1"/>
      <c r="D987" s="1"/>
      <c r="E987" s="1"/>
    </row>
    <row r="988" spans="1:5" ht="15" customHeight="1">
      <c r="A988" s="1"/>
      <c r="B988" s="1"/>
      <c r="C988" s="1"/>
      <c r="D988" s="1"/>
      <c r="E988" s="1"/>
    </row>
    <row r="989" spans="1:5" ht="15" customHeight="1">
      <c r="A989" s="1"/>
      <c r="B989" s="1"/>
      <c r="C989" s="1"/>
      <c r="D989" s="1"/>
      <c r="E989" s="1"/>
    </row>
    <row r="990" spans="1:5" ht="15" customHeight="1">
      <c r="A990" s="1"/>
      <c r="B990" s="1"/>
      <c r="C990" s="1"/>
      <c r="D990" s="1"/>
      <c r="E990" s="1"/>
    </row>
    <row r="991" spans="1:5" ht="15" customHeight="1">
      <c r="A991" s="1"/>
      <c r="B991" s="1"/>
      <c r="C991" s="1"/>
      <c r="D991" s="1"/>
      <c r="E991" s="1"/>
    </row>
    <row r="992" spans="1:5" ht="15" customHeight="1">
      <c r="A992" s="1"/>
      <c r="B992" s="1"/>
      <c r="C992" s="1"/>
      <c r="D992" s="1"/>
      <c r="E992" s="1"/>
    </row>
    <row r="993" spans="1:5" ht="15" customHeight="1">
      <c r="A993" s="1"/>
      <c r="B993" s="1"/>
      <c r="C993" s="1"/>
      <c r="D993" s="1"/>
      <c r="E993" s="1"/>
    </row>
    <row r="994" spans="1:5" ht="15" customHeight="1">
      <c r="A994" s="1"/>
      <c r="B994" s="1"/>
      <c r="C994" s="1"/>
      <c r="D994" s="1"/>
      <c r="E994" s="1"/>
    </row>
    <row r="995" spans="1:5" ht="15" customHeight="1">
      <c r="A995" s="1"/>
      <c r="B995" s="1"/>
      <c r="C995" s="1"/>
      <c r="D995" s="1"/>
      <c r="E995" s="1"/>
    </row>
    <row r="996" spans="1:5" ht="15" customHeight="1">
      <c r="A996" s="1"/>
      <c r="B996" s="1"/>
      <c r="C996" s="1"/>
      <c r="D996" s="1"/>
      <c r="E996" s="1"/>
    </row>
    <row r="997" spans="1:5" ht="15" customHeight="1">
      <c r="A997" s="1"/>
      <c r="B997" s="1"/>
      <c r="C997" s="1"/>
      <c r="D997" s="1"/>
      <c r="E997" s="1"/>
    </row>
    <row r="998" spans="1:5" ht="15" customHeight="1">
      <c r="A998" s="1"/>
      <c r="B998" s="1"/>
      <c r="C998" s="1"/>
      <c r="D998" s="1"/>
      <c r="E998" s="1"/>
    </row>
    <row r="999" spans="1:5" ht="15" customHeight="1">
      <c r="A999" s="1"/>
      <c r="B999" s="1"/>
      <c r="C999" s="1"/>
      <c r="D999" s="1"/>
      <c r="E999" s="1"/>
    </row>
    <row r="1000" spans="1:5" ht="15" customHeight="1">
      <c r="A1000" s="1"/>
      <c r="B1000" s="1"/>
      <c r="C1000" s="1"/>
      <c r="D1000" s="1"/>
      <c r="E1000" s="1"/>
    </row>
    <row r="1001" spans="1:5" ht="15" customHeight="1">
      <c r="A1001" s="1"/>
      <c r="B1001" s="1"/>
      <c r="C1001" s="1"/>
      <c r="D1001" s="1"/>
      <c r="E1001" s="1"/>
    </row>
    <row r="1002" spans="1:5" ht="15" customHeight="1">
      <c r="A1002" s="1"/>
      <c r="B1002" s="1"/>
      <c r="C1002" s="1"/>
      <c r="D1002" s="1"/>
      <c r="E1002" s="1"/>
    </row>
    <row r="1003" spans="1:5" ht="15" customHeight="1">
      <c r="A1003" s="1"/>
      <c r="B1003" s="1"/>
      <c r="C1003" s="1"/>
      <c r="D1003" s="1"/>
      <c r="E1003" s="1"/>
    </row>
    <row r="1004" spans="1:5" ht="15" customHeight="1">
      <c r="A1004" s="1"/>
      <c r="B1004" s="1"/>
      <c r="C1004" s="1"/>
      <c r="D1004" s="1"/>
      <c r="E1004" s="1"/>
    </row>
    <row r="1005" spans="1:5" ht="15" customHeight="1">
      <c r="A1005" s="1"/>
      <c r="B1005" s="1"/>
      <c r="C1005" s="1"/>
      <c r="D1005" s="1"/>
      <c r="E1005" s="1"/>
    </row>
    <row r="1006" spans="1:5" ht="13.5" customHeight="1">
      <c r="A1006" s="1"/>
      <c r="B1006" s="1"/>
      <c r="C1006" s="1"/>
      <c r="D1006" s="1"/>
      <c r="E1006" s="1"/>
    </row>
    <row r="1007" spans="1:5" ht="13.5" customHeight="1">
      <c r="A1007" s="1"/>
      <c r="B1007" s="1"/>
      <c r="C1007" s="1"/>
      <c r="D1007" s="1"/>
      <c r="E1007" s="1"/>
    </row>
    <row r="1008" spans="1:5" ht="15" customHeight="1">
      <c r="A1008" s="1"/>
      <c r="B1008" s="1"/>
      <c r="C1008" s="1"/>
      <c r="D1008" s="1"/>
      <c r="E1008" s="1"/>
    </row>
    <row r="1009" spans="1:5" ht="15" customHeight="1">
      <c r="A1009" s="1"/>
      <c r="B1009" s="1"/>
      <c r="C1009" s="1"/>
      <c r="D1009" s="1"/>
      <c r="E1009" s="1"/>
    </row>
    <row r="1010" spans="1:5" ht="15" customHeight="1">
      <c r="A1010" s="1"/>
      <c r="B1010" s="1"/>
      <c r="C1010" s="1"/>
      <c r="D1010" s="1"/>
      <c r="E1010" s="1"/>
    </row>
    <row r="1011" spans="1:5" ht="15" customHeight="1">
      <c r="A1011" s="1"/>
      <c r="B1011" s="1"/>
      <c r="C1011" s="1"/>
      <c r="D1011" s="1"/>
      <c r="E1011" s="1"/>
    </row>
    <row r="1012" spans="1:5" ht="15" customHeight="1">
      <c r="A1012" s="1"/>
      <c r="B1012" s="1"/>
      <c r="C1012" s="1"/>
      <c r="D1012" s="1"/>
      <c r="E1012" s="1"/>
    </row>
    <row r="1013" spans="1:5" ht="16.5" customHeight="1">
      <c r="A1013" s="1"/>
      <c r="B1013" s="1"/>
      <c r="C1013" s="1"/>
      <c r="D1013" s="1"/>
      <c r="E1013" s="1"/>
    </row>
    <row r="1014" spans="1:5" ht="16.5" customHeight="1">
      <c r="A1014" s="1"/>
      <c r="B1014" s="1"/>
      <c r="C1014" s="1"/>
      <c r="D1014" s="1"/>
      <c r="E1014" s="1"/>
    </row>
    <row r="1015" spans="1:5" ht="16.5" customHeight="1">
      <c r="A1015" s="1"/>
      <c r="B1015" s="1"/>
      <c r="C1015" s="1"/>
      <c r="D1015" s="1"/>
      <c r="E1015" s="1"/>
    </row>
    <row r="1016" spans="1:5" ht="16.5" customHeight="1">
      <c r="A1016" s="1"/>
      <c r="B1016" s="1"/>
      <c r="C1016" s="1"/>
      <c r="D1016" s="1"/>
      <c r="E1016" s="1"/>
    </row>
    <row r="1017" spans="1:5" ht="16.5" customHeight="1">
      <c r="A1017" s="1"/>
      <c r="B1017" s="1"/>
      <c r="C1017" s="1"/>
      <c r="D1017" s="1"/>
      <c r="E1017" s="1"/>
    </row>
    <row r="1018" spans="1:5" ht="16.5" customHeight="1">
      <c r="A1018" s="1"/>
      <c r="B1018" s="1"/>
      <c r="C1018" s="1"/>
      <c r="D1018" s="1"/>
      <c r="E1018" s="1"/>
    </row>
    <row r="1019" spans="1:5" ht="16.5" customHeight="1">
      <c r="A1019" s="1"/>
      <c r="B1019" s="1"/>
      <c r="C1019" s="1"/>
      <c r="D1019" s="1"/>
      <c r="E1019" s="1"/>
    </row>
    <row r="1020" spans="1:5" ht="15" customHeight="1">
      <c r="A1020" s="1"/>
      <c r="B1020" s="1"/>
      <c r="C1020" s="1"/>
      <c r="D1020" s="1"/>
      <c r="E1020" s="1"/>
    </row>
    <row r="1021" spans="1:5" ht="15" customHeight="1">
      <c r="A1021" s="1"/>
      <c r="B1021" s="1"/>
      <c r="C1021" s="1"/>
      <c r="D1021" s="1"/>
      <c r="E1021" s="1"/>
    </row>
    <row r="1022" spans="1:5" ht="15" customHeight="1">
      <c r="A1022" s="1"/>
      <c r="B1022" s="1"/>
      <c r="C1022" s="1"/>
      <c r="D1022" s="1"/>
      <c r="E1022" s="1"/>
    </row>
    <row r="1023" spans="1:5" ht="14.25" customHeight="1">
      <c r="A1023" s="1"/>
      <c r="B1023" s="1"/>
      <c r="C1023" s="1"/>
      <c r="D1023" s="1"/>
      <c r="E1023" s="1"/>
    </row>
    <row r="1024" spans="1:5" ht="14.25" customHeight="1">
      <c r="A1024" s="1"/>
      <c r="B1024" s="1"/>
      <c r="C1024" s="1"/>
      <c r="D1024" s="1"/>
      <c r="E1024" s="1"/>
    </row>
    <row r="1025" spans="1:5" ht="14.25" customHeight="1">
      <c r="A1025" s="1"/>
      <c r="B1025" s="1"/>
      <c r="C1025" s="1"/>
      <c r="D1025" s="1"/>
      <c r="E1025" s="1"/>
    </row>
    <row r="1026" spans="1:5" ht="14.25" customHeight="1">
      <c r="A1026" s="1"/>
      <c r="B1026" s="1"/>
      <c r="C1026" s="1"/>
      <c r="D1026" s="1"/>
      <c r="E1026" s="1"/>
    </row>
    <row r="1027" spans="1:5" ht="14.25" customHeight="1">
      <c r="A1027" s="1"/>
      <c r="B1027" s="1"/>
      <c r="C1027" s="1"/>
      <c r="D1027" s="1"/>
      <c r="E1027" s="1"/>
    </row>
    <row r="1028" spans="1:5" ht="14.25" customHeight="1">
      <c r="A1028" s="1"/>
      <c r="B1028" s="1"/>
      <c r="C1028" s="1"/>
      <c r="D1028" s="1"/>
      <c r="E1028" s="1"/>
    </row>
    <row r="1029" spans="1:5" ht="14.25" customHeight="1">
      <c r="A1029" s="1"/>
      <c r="B1029" s="1"/>
      <c r="C1029" s="1"/>
      <c r="D1029" s="1"/>
      <c r="E1029" s="1"/>
    </row>
    <row r="1030" spans="1:5" ht="14.25" customHeight="1">
      <c r="A1030" s="1"/>
      <c r="B1030" s="1"/>
      <c r="C1030" s="1"/>
      <c r="D1030" s="1"/>
      <c r="E1030" s="1"/>
    </row>
    <row r="1031" spans="1:5" ht="14.25" customHeight="1">
      <c r="A1031" s="1"/>
      <c r="B1031" s="1"/>
      <c r="C1031" s="1"/>
      <c r="D1031" s="1"/>
      <c r="E1031" s="1"/>
    </row>
    <row r="1032" spans="1:5" ht="14.25" customHeight="1">
      <c r="A1032" s="1"/>
      <c r="B1032" s="1"/>
      <c r="C1032" s="1"/>
      <c r="D1032" s="1"/>
      <c r="E1032" s="1"/>
    </row>
    <row r="1033" spans="1:5" ht="14.25" customHeight="1">
      <c r="A1033" s="1"/>
      <c r="B1033" s="1"/>
      <c r="C1033" s="1"/>
      <c r="D1033" s="1"/>
      <c r="E1033" s="1"/>
    </row>
    <row r="1034" spans="1:5" ht="14.25" customHeight="1">
      <c r="A1034" s="1"/>
      <c r="B1034" s="1"/>
      <c r="C1034" s="1"/>
      <c r="D1034" s="1"/>
      <c r="E1034" s="1"/>
    </row>
    <row r="1035" spans="1:5" ht="14.25" customHeight="1">
      <c r="A1035" s="1"/>
      <c r="B1035" s="1"/>
      <c r="C1035" s="1"/>
      <c r="D1035" s="1"/>
      <c r="E1035" s="1"/>
    </row>
    <row r="1036" spans="1:5" ht="14.25" customHeight="1">
      <c r="A1036" s="1"/>
      <c r="B1036" s="1"/>
      <c r="C1036" s="1"/>
      <c r="D1036" s="1"/>
      <c r="E1036" s="1"/>
    </row>
    <row r="1037" spans="1:5" ht="14.25" customHeight="1">
      <c r="A1037" s="1"/>
      <c r="B1037" s="1"/>
      <c r="C1037" s="1"/>
      <c r="D1037" s="1"/>
      <c r="E1037" s="1"/>
    </row>
    <row r="1038" spans="1:5" ht="14.25" customHeight="1">
      <c r="A1038" s="1"/>
      <c r="B1038" s="1"/>
      <c r="C1038" s="1"/>
      <c r="D1038" s="1"/>
      <c r="E1038" s="1"/>
    </row>
    <row r="1039" spans="1:5" ht="14.25" customHeight="1">
      <c r="A1039" s="1"/>
      <c r="B1039" s="1"/>
      <c r="C1039" s="1"/>
      <c r="D1039" s="1"/>
      <c r="E1039" s="1"/>
    </row>
    <row r="1040" spans="1:5" ht="14.25" customHeight="1">
      <c r="A1040" s="1"/>
      <c r="B1040" s="1"/>
      <c r="C1040" s="1"/>
      <c r="D1040" s="1"/>
      <c r="E1040" s="1"/>
    </row>
    <row r="1041" spans="1:5" ht="14.25" customHeight="1">
      <c r="A1041" s="1"/>
      <c r="B1041" s="1"/>
      <c r="C1041" s="1"/>
      <c r="D1041" s="1"/>
      <c r="E1041" s="1"/>
    </row>
    <row r="1042" spans="1:5" ht="14.25" customHeight="1">
      <c r="A1042" s="1"/>
      <c r="B1042" s="1"/>
      <c r="C1042" s="1"/>
      <c r="D1042" s="1"/>
      <c r="E1042" s="1"/>
    </row>
    <row r="1043" spans="1:5" ht="14.25" customHeight="1">
      <c r="A1043" s="1"/>
      <c r="B1043" s="1"/>
      <c r="C1043" s="1"/>
      <c r="D1043" s="1"/>
      <c r="E1043" s="1"/>
    </row>
    <row r="1044" spans="1:5" ht="14.25" customHeight="1">
      <c r="A1044" s="1"/>
      <c r="B1044" s="1"/>
      <c r="C1044" s="1"/>
      <c r="D1044" s="1"/>
      <c r="E1044" s="1"/>
    </row>
    <row r="1045" spans="1:5" ht="14.25" customHeight="1">
      <c r="A1045" s="1"/>
      <c r="B1045" s="1"/>
      <c r="C1045" s="1"/>
      <c r="D1045" s="1"/>
      <c r="E1045" s="1"/>
    </row>
    <row r="1046" spans="1:5" ht="14.25" customHeight="1">
      <c r="A1046" s="1"/>
      <c r="B1046" s="1"/>
      <c r="C1046" s="1"/>
      <c r="D1046" s="1"/>
      <c r="E1046" s="1"/>
    </row>
    <row r="1047" spans="1:5" ht="14.25" customHeight="1">
      <c r="A1047" s="1"/>
      <c r="B1047" s="1"/>
      <c r="C1047" s="1"/>
      <c r="D1047" s="1"/>
      <c r="E1047" s="1"/>
    </row>
    <row r="1048" spans="1:5" ht="14.25" customHeight="1">
      <c r="A1048" s="1"/>
      <c r="B1048" s="1"/>
      <c r="C1048" s="1"/>
      <c r="D1048" s="1"/>
      <c r="E1048" s="1"/>
    </row>
    <row r="1049" spans="1:5" ht="14.25" customHeight="1">
      <c r="A1049" s="1"/>
      <c r="B1049" s="1"/>
      <c r="C1049" s="1"/>
      <c r="D1049" s="1"/>
      <c r="E1049" s="1"/>
    </row>
    <row r="1050" spans="1:5" ht="14.25" customHeight="1">
      <c r="A1050" s="1"/>
      <c r="B1050" s="1"/>
      <c r="C1050" s="1"/>
      <c r="D1050" s="1"/>
      <c r="E1050" s="1"/>
    </row>
    <row r="1051" spans="1:5" ht="14.25" customHeight="1">
      <c r="A1051" s="1"/>
      <c r="B1051" s="1"/>
      <c r="C1051" s="1"/>
      <c r="D1051" s="1"/>
      <c r="E1051" s="1"/>
    </row>
    <row r="1052" spans="1:5" ht="14.25" customHeight="1">
      <c r="A1052" s="1"/>
      <c r="B1052" s="1"/>
      <c r="C1052" s="1"/>
      <c r="D1052" s="1"/>
      <c r="E1052" s="1"/>
    </row>
    <row r="1053" spans="1:5" ht="14.25" customHeight="1">
      <c r="A1053" s="1"/>
      <c r="B1053" s="1"/>
      <c r="C1053" s="1"/>
      <c r="D1053" s="1"/>
      <c r="E1053" s="1"/>
    </row>
    <row r="1054" spans="1:5" ht="14.25" customHeight="1">
      <c r="A1054" s="1"/>
      <c r="B1054" s="1"/>
      <c r="C1054" s="1"/>
      <c r="D1054" s="1"/>
      <c r="E1054" s="1"/>
    </row>
    <row r="1055" spans="1:5" ht="14.25" customHeight="1">
      <c r="A1055" s="1"/>
      <c r="B1055" s="1"/>
      <c r="C1055" s="1"/>
      <c r="D1055" s="1"/>
      <c r="E1055" s="1"/>
    </row>
    <row r="1056" spans="1:5" ht="14.25" customHeight="1">
      <c r="A1056" s="1"/>
      <c r="B1056" s="1"/>
      <c r="C1056" s="1"/>
      <c r="D1056" s="1"/>
      <c r="E1056" s="1"/>
    </row>
    <row r="1057" spans="1:5" ht="14.25" customHeight="1">
      <c r="A1057" s="1"/>
      <c r="B1057" s="1"/>
      <c r="C1057" s="1"/>
      <c r="D1057" s="1"/>
      <c r="E1057" s="1"/>
    </row>
    <row r="1058" spans="1:5" ht="14.25" customHeight="1">
      <c r="A1058" s="1"/>
      <c r="B1058" s="1"/>
      <c r="C1058" s="1"/>
      <c r="D1058" s="1"/>
      <c r="E1058" s="1"/>
    </row>
    <row r="1059" spans="1:5" ht="14.25" customHeight="1">
      <c r="A1059" s="1"/>
      <c r="B1059" s="1"/>
      <c r="C1059" s="1"/>
      <c r="D1059" s="1"/>
      <c r="E1059" s="1"/>
    </row>
    <row r="1060" spans="1:5" ht="14.25" customHeight="1">
      <c r="A1060" s="1"/>
      <c r="B1060" s="1"/>
      <c r="C1060" s="1"/>
      <c r="D1060" s="1"/>
      <c r="E1060" s="1"/>
    </row>
    <row r="1061" spans="1:5" ht="14.25" customHeight="1">
      <c r="A1061" s="1"/>
      <c r="B1061" s="1"/>
      <c r="C1061" s="1"/>
      <c r="D1061" s="1"/>
      <c r="E1061" s="1"/>
    </row>
    <row r="1062" spans="1:5" ht="14.25" customHeight="1">
      <c r="A1062" s="1"/>
      <c r="B1062" s="1"/>
      <c r="C1062" s="1"/>
      <c r="D1062" s="1"/>
      <c r="E1062" s="1"/>
    </row>
    <row r="1063" spans="1:5" ht="14.25" customHeight="1">
      <c r="A1063" s="1"/>
      <c r="B1063" s="1"/>
      <c r="C1063" s="1"/>
      <c r="D1063" s="1"/>
      <c r="E1063" s="1"/>
    </row>
    <row r="1064" spans="1:5" ht="14.25" customHeight="1">
      <c r="A1064" s="1"/>
      <c r="B1064" s="1"/>
      <c r="C1064" s="1"/>
      <c r="D1064" s="1"/>
      <c r="E1064" s="1"/>
    </row>
    <row r="1065" spans="1:5" ht="14.25" customHeight="1">
      <c r="A1065" s="1"/>
      <c r="B1065" s="1"/>
      <c r="C1065" s="1"/>
      <c r="D1065" s="1"/>
      <c r="E1065" s="1"/>
    </row>
    <row r="1066" spans="1:5" ht="14.25" customHeight="1">
      <c r="A1066" s="1"/>
      <c r="B1066" s="1"/>
      <c r="C1066" s="1"/>
      <c r="D1066" s="1"/>
      <c r="E1066" s="1"/>
    </row>
    <row r="1067" spans="1:5" ht="14.25" customHeight="1">
      <c r="A1067" s="1"/>
      <c r="B1067" s="1"/>
      <c r="C1067" s="1"/>
      <c r="D1067" s="1"/>
      <c r="E1067" s="1"/>
    </row>
    <row r="1068" spans="1:5" ht="14.25" customHeight="1">
      <c r="A1068" s="1"/>
      <c r="B1068" s="1"/>
      <c r="C1068" s="1"/>
      <c r="D1068" s="1"/>
      <c r="E1068" s="1"/>
    </row>
    <row r="1069" spans="1:5" ht="14.25" customHeight="1">
      <c r="A1069" s="1"/>
      <c r="B1069" s="1"/>
      <c r="C1069" s="1"/>
      <c r="D1069" s="1"/>
      <c r="E1069" s="1"/>
    </row>
    <row r="1070" spans="1:5" ht="14.25" customHeight="1">
      <c r="A1070" s="1"/>
      <c r="B1070" s="1"/>
      <c r="C1070" s="1"/>
      <c r="D1070" s="1"/>
      <c r="E1070" s="1"/>
    </row>
    <row r="1071" spans="1:5" ht="14.25" customHeight="1">
      <c r="A1071" s="1"/>
      <c r="B1071" s="1"/>
      <c r="C1071" s="1"/>
      <c r="D1071" s="1"/>
      <c r="E1071" s="1"/>
    </row>
    <row r="1072" spans="1:5" ht="14.25" customHeight="1">
      <c r="A1072" s="1"/>
      <c r="B1072" s="1"/>
      <c r="C1072" s="1"/>
      <c r="D1072" s="1"/>
      <c r="E1072" s="1"/>
    </row>
    <row r="1073" spans="1:5" ht="14.25" customHeight="1">
      <c r="A1073" s="1"/>
      <c r="B1073" s="1"/>
      <c r="C1073" s="1"/>
      <c r="D1073" s="1"/>
      <c r="E1073" s="1"/>
    </row>
    <row r="1074" spans="1:5" ht="14.25" customHeight="1">
      <c r="A1074" s="1"/>
      <c r="B1074" s="1"/>
      <c r="C1074" s="1"/>
      <c r="D1074" s="1"/>
      <c r="E1074" s="1"/>
    </row>
    <row r="1075" ht="14.25" customHeight="1"/>
    <row r="1076" ht="14.25" customHeight="1"/>
    <row r="1077" ht="14.25" customHeight="1"/>
    <row r="1078" ht="14.25" customHeight="1"/>
    <row r="1079" ht="14.25" customHeight="1"/>
    <row r="1080" ht="14.25" customHeight="1"/>
    <row r="1081" ht="14.25" customHeight="1"/>
    <row r="1082" ht="14.25" customHeight="1"/>
    <row r="1083" ht="14.25" customHeight="1"/>
    <row r="1084" ht="14.25" customHeight="1"/>
    <row r="1085" ht="19.5" customHeight="1"/>
    <row r="1086" ht="14.25" customHeight="1"/>
    <row r="1087" ht="14.25" customHeight="1"/>
    <row r="1088" ht="14.25" customHeight="1"/>
    <row r="1089" ht="14.25" customHeight="1"/>
    <row r="1090" ht="14.25" customHeight="1"/>
    <row r="1091" ht="14.25" customHeight="1"/>
  </sheetData>
  <sheetProtection/>
  <mergeCells count="527">
    <mergeCell ref="A437:C437"/>
    <mergeCell ref="A411:E411"/>
    <mergeCell ref="A413:C413"/>
    <mergeCell ref="A420:C420"/>
    <mergeCell ref="A426:C426"/>
    <mergeCell ref="A431:E431"/>
    <mergeCell ref="A433:C433"/>
    <mergeCell ref="A344:C344"/>
    <mergeCell ref="A357:C357"/>
    <mergeCell ref="B484:C487"/>
    <mergeCell ref="A484:A487"/>
    <mergeCell ref="B460:C460"/>
    <mergeCell ref="B454:C454"/>
    <mergeCell ref="B468:C468"/>
    <mergeCell ref="A397:E397"/>
    <mergeCell ref="A399:C399"/>
    <mergeCell ref="A402:C402"/>
    <mergeCell ref="A293:C293"/>
    <mergeCell ref="A498:A502"/>
    <mergeCell ref="A563:A566"/>
    <mergeCell ref="A570:A573"/>
    <mergeCell ref="A596:B596"/>
    <mergeCell ref="A587:B587"/>
    <mergeCell ref="A534:A537"/>
    <mergeCell ref="B518:C518"/>
    <mergeCell ref="A527:A530"/>
    <mergeCell ref="A301:C301"/>
    <mergeCell ref="A905:B905"/>
    <mergeCell ref="C911:C913"/>
    <mergeCell ref="C28:D28"/>
    <mergeCell ref="A28:B28"/>
    <mergeCell ref="C621:C622"/>
    <mergeCell ref="C706:D706"/>
    <mergeCell ref="B743:C743"/>
    <mergeCell ref="A254:C254"/>
    <mergeCell ref="A477:A480"/>
    <mergeCell ref="A612:B617"/>
    <mergeCell ref="A597:B599"/>
    <mergeCell ref="A205:C205"/>
    <mergeCell ref="C578:C579"/>
    <mergeCell ref="A239:C239"/>
    <mergeCell ref="A338:E338"/>
    <mergeCell ref="A340:C340"/>
    <mergeCell ref="A299:E299"/>
    <mergeCell ref="A272:E272"/>
    <mergeCell ref="A306:C306"/>
    <mergeCell ref="A313:C313"/>
    <mergeCell ref="A261:C261"/>
    <mergeCell ref="A266:C266"/>
    <mergeCell ref="B556:C556"/>
    <mergeCell ref="A469:A473"/>
    <mergeCell ref="A491:A494"/>
    <mergeCell ref="B476:C476"/>
    <mergeCell ref="A506:A508"/>
    <mergeCell ref="A277:C277"/>
    <mergeCell ref="A286:E286"/>
    <mergeCell ref="A288:C288"/>
    <mergeCell ref="C703:D703"/>
    <mergeCell ref="C705:D705"/>
    <mergeCell ref="B570:C573"/>
    <mergeCell ref="C583:C584"/>
    <mergeCell ref="A602:B602"/>
    <mergeCell ref="A603:B604"/>
    <mergeCell ref="A662:B662"/>
    <mergeCell ref="A631:B631"/>
    <mergeCell ref="A620:B620"/>
    <mergeCell ref="A601:B601"/>
    <mergeCell ref="A845:B845"/>
    <mergeCell ref="C710:D710"/>
    <mergeCell ref="A704:B704"/>
    <mergeCell ref="A636:B636"/>
    <mergeCell ref="A639:B639"/>
    <mergeCell ref="A606:B606"/>
    <mergeCell ref="A611:B611"/>
    <mergeCell ref="A710:B710"/>
    <mergeCell ref="C709:D709"/>
    <mergeCell ref="A708:B708"/>
    <mergeCell ref="A817:B817"/>
    <mergeCell ref="A833:B833"/>
    <mergeCell ref="A801:B804"/>
    <mergeCell ref="A806:B806"/>
    <mergeCell ref="A852:B853"/>
    <mergeCell ref="A851:B851"/>
    <mergeCell ref="A847:B848"/>
    <mergeCell ref="A831:B831"/>
    <mergeCell ref="A828:B828"/>
    <mergeCell ref="A829:B830"/>
    <mergeCell ref="C794:C797"/>
    <mergeCell ref="A788:B788"/>
    <mergeCell ref="C801:C804"/>
    <mergeCell ref="A800:B800"/>
    <mergeCell ref="A808:B808"/>
    <mergeCell ref="C789:C790"/>
    <mergeCell ref="A791:B791"/>
    <mergeCell ref="A794:B797"/>
    <mergeCell ref="A789:B790"/>
    <mergeCell ref="A792:B792"/>
    <mergeCell ref="A875:B875"/>
    <mergeCell ref="A876:B876"/>
    <mergeCell ref="A874:B874"/>
    <mergeCell ref="A867:B867"/>
    <mergeCell ref="A866:B866"/>
    <mergeCell ref="A882:B882"/>
    <mergeCell ref="A880:B880"/>
    <mergeCell ref="A871:B871"/>
    <mergeCell ref="A877:B877"/>
    <mergeCell ref="A873:B873"/>
    <mergeCell ref="A864:B864"/>
    <mergeCell ref="A881:B881"/>
    <mergeCell ref="A878:B878"/>
    <mergeCell ref="A872:B872"/>
    <mergeCell ref="A865:B865"/>
    <mergeCell ref="C857:C862"/>
    <mergeCell ref="A879:B879"/>
    <mergeCell ref="A869:B869"/>
    <mergeCell ref="A870:B870"/>
    <mergeCell ref="A868:B868"/>
    <mergeCell ref="H898:H899"/>
    <mergeCell ref="A897:B897"/>
    <mergeCell ref="A898:B898"/>
    <mergeCell ref="F880:G880"/>
    <mergeCell ref="A890:B890"/>
    <mergeCell ref="C892:C895"/>
    <mergeCell ref="A899:B903"/>
    <mergeCell ref="A886:B888"/>
    <mergeCell ref="C886:C888"/>
    <mergeCell ref="C899:C903"/>
    <mergeCell ref="A812:B814"/>
    <mergeCell ref="H846:H847"/>
    <mergeCell ref="A856:B856"/>
    <mergeCell ref="H828:H829"/>
    <mergeCell ref="C852:C853"/>
    <mergeCell ref="A850:B850"/>
    <mergeCell ref="H856:H857"/>
    <mergeCell ref="A855:B855"/>
    <mergeCell ref="C847:C848"/>
    <mergeCell ref="A834:B835"/>
    <mergeCell ref="A713:B713"/>
    <mergeCell ref="H851:H852"/>
    <mergeCell ref="H838:H839"/>
    <mergeCell ref="A807:B807"/>
    <mergeCell ref="C834:C835"/>
    <mergeCell ref="H833:H834"/>
    <mergeCell ref="C772:C777"/>
    <mergeCell ref="C829:C830"/>
    <mergeCell ref="H817:H818"/>
    <mergeCell ref="H811:H812"/>
    <mergeCell ref="A244:C244"/>
    <mergeCell ref="A232:C232"/>
    <mergeCell ref="B448:C451"/>
    <mergeCell ref="A770:B770"/>
    <mergeCell ref="B744:C744"/>
    <mergeCell ref="A765:B768"/>
    <mergeCell ref="A760:E760"/>
    <mergeCell ref="B738:C738"/>
    <mergeCell ref="B734:C734"/>
    <mergeCell ref="A753:E753"/>
    <mergeCell ref="B453:C453"/>
    <mergeCell ref="A224:C224"/>
    <mergeCell ref="A237:E237"/>
    <mergeCell ref="A448:A451"/>
    <mergeCell ref="C35:D35"/>
    <mergeCell ref="B469:C473"/>
    <mergeCell ref="A462:A465"/>
    <mergeCell ref="C36:D36"/>
    <mergeCell ref="A209:C209"/>
    <mergeCell ref="A219:C219"/>
    <mergeCell ref="A50:E50"/>
    <mergeCell ref="A52:C52"/>
    <mergeCell ref="A124:C124"/>
    <mergeCell ref="A203:E203"/>
    <mergeCell ref="A163:C163"/>
    <mergeCell ref="A192:C192"/>
    <mergeCell ref="A143:E143"/>
    <mergeCell ref="A145:C145"/>
    <mergeCell ref="A150:C150"/>
    <mergeCell ref="A190:E190"/>
    <mergeCell ref="A34:B34"/>
    <mergeCell ref="C40:D40"/>
    <mergeCell ref="A107:E107"/>
    <mergeCell ref="A93:E93"/>
    <mergeCell ref="A67:E67"/>
    <mergeCell ref="A47:E47"/>
    <mergeCell ref="A41:B41"/>
    <mergeCell ref="A87:C87"/>
    <mergeCell ref="C34:D34"/>
    <mergeCell ref="C45:D45"/>
    <mergeCell ref="D30:E30"/>
    <mergeCell ref="A17:B17"/>
    <mergeCell ref="C18:D18"/>
    <mergeCell ref="A18:B18"/>
    <mergeCell ref="C24:D24"/>
    <mergeCell ref="C19:D19"/>
    <mergeCell ref="C17:D17"/>
    <mergeCell ref="A19:B19"/>
    <mergeCell ref="C20:D20"/>
    <mergeCell ref="A22:B22"/>
    <mergeCell ref="C22:D22"/>
    <mergeCell ref="A10:B10"/>
    <mergeCell ref="A12:B12"/>
    <mergeCell ref="C14:D14"/>
    <mergeCell ref="A14:B14"/>
    <mergeCell ref="C15:D15"/>
    <mergeCell ref="A16:B16"/>
    <mergeCell ref="C11:D11"/>
    <mergeCell ref="C13:D13"/>
    <mergeCell ref="A15:B15"/>
    <mergeCell ref="C29:D29"/>
    <mergeCell ref="C21:D21"/>
    <mergeCell ref="C16:D16"/>
    <mergeCell ref="C12:D12"/>
    <mergeCell ref="A20:B20"/>
    <mergeCell ref="A7:B7"/>
    <mergeCell ref="C10:D10"/>
    <mergeCell ref="C7:D7"/>
    <mergeCell ref="C8:D8"/>
    <mergeCell ref="A21:B21"/>
    <mergeCell ref="A40:B40"/>
    <mergeCell ref="A48:E48"/>
    <mergeCell ref="A32:B32"/>
    <mergeCell ref="A24:B24"/>
    <mergeCell ref="A11:B11"/>
    <mergeCell ref="A13:B13"/>
    <mergeCell ref="A26:D26"/>
    <mergeCell ref="A27:B27"/>
    <mergeCell ref="C27:D27"/>
    <mergeCell ref="A29:B29"/>
    <mergeCell ref="A35:B35"/>
    <mergeCell ref="A39:B39"/>
    <mergeCell ref="C38:D38"/>
    <mergeCell ref="A36:B36"/>
    <mergeCell ref="C37:D37"/>
    <mergeCell ref="A38:B38"/>
    <mergeCell ref="C39:D39"/>
    <mergeCell ref="A37:B37"/>
    <mergeCell ref="A45:B45"/>
    <mergeCell ref="A31:D31"/>
    <mergeCell ref="A512:A515"/>
    <mergeCell ref="C33:D33"/>
    <mergeCell ref="B534:C537"/>
    <mergeCell ref="A582:B582"/>
    <mergeCell ref="C32:D32"/>
    <mergeCell ref="A33:B33"/>
    <mergeCell ref="A46:E46"/>
    <mergeCell ref="C41:D41"/>
    <mergeCell ref="C6:D6"/>
    <mergeCell ref="A6:B6"/>
    <mergeCell ref="A9:B9"/>
    <mergeCell ref="C9:D9"/>
    <mergeCell ref="A1:E1"/>
    <mergeCell ref="A2:C2"/>
    <mergeCell ref="A4:E4"/>
    <mergeCell ref="A3:C3"/>
    <mergeCell ref="A5:D5"/>
    <mergeCell ref="A8:B8"/>
    <mergeCell ref="A837:B837"/>
    <mergeCell ref="A816:B816"/>
    <mergeCell ref="A764:B764"/>
    <mergeCell ref="B722:C722"/>
    <mergeCell ref="B741:C741"/>
    <mergeCell ref="B728:C728"/>
    <mergeCell ref="B746:C746"/>
    <mergeCell ref="C765:C768"/>
    <mergeCell ref="B729:C729"/>
    <mergeCell ref="A751:E751"/>
    <mergeCell ref="A592:B593"/>
    <mergeCell ref="A591:B591"/>
    <mergeCell ref="C708:D708"/>
    <mergeCell ref="A719:E719"/>
    <mergeCell ref="A605:B605"/>
    <mergeCell ref="B725:C725"/>
    <mergeCell ref="B723:C723"/>
    <mergeCell ref="C653:C655"/>
    <mergeCell ref="A653:B655"/>
    <mergeCell ref="C645:C649"/>
    <mergeCell ref="A749:E749"/>
    <mergeCell ref="A779:B779"/>
    <mergeCell ref="A781:B785"/>
    <mergeCell ref="A771:B771"/>
    <mergeCell ref="B726:C726"/>
    <mergeCell ref="B731:C731"/>
    <mergeCell ref="B737:C737"/>
    <mergeCell ref="B735:C735"/>
    <mergeCell ref="A769:B769"/>
    <mergeCell ref="B747:C747"/>
    <mergeCell ref="A787:B787"/>
    <mergeCell ref="A759:E759"/>
    <mergeCell ref="A721:E721"/>
    <mergeCell ref="C712:D712"/>
    <mergeCell ref="A838:B838"/>
    <mergeCell ref="A832:B832"/>
    <mergeCell ref="A799:B799"/>
    <mergeCell ref="A772:B777"/>
    <mergeCell ref="A815:B815"/>
    <mergeCell ref="C812:C814"/>
    <mergeCell ref="A836:B836"/>
    <mergeCell ref="A793:B793"/>
    <mergeCell ref="A621:B622"/>
    <mergeCell ref="A701:E701"/>
    <mergeCell ref="A632:B632"/>
    <mergeCell ref="C603:C604"/>
    <mergeCell ref="A607:B607"/>
    <mergeCell ref="C612:C617"/>
    <mergeCell ref="A626:B628"/>
    <mergeCell ref="A625:B625"/>
    <mergeCell ref="H800:H801"/>
    <mergeCell ref="A709:B709"/>
    <mergeCell ref="A706:B706"/>
    <mergeCell ref="C704:D704"/>
    <mergeCell ref="A712:B712"/>
    <mergeCell ref="C707:D707"/>
    <mergeCell ref="A707:B707"/>
    <mergeCell ref="A705:B705"/>
    <mergeCell ref="A780:B780"/>
    <mergeCell ref="C781:C785"/>
    <mergeCell ref="H788:H789"/>
    <mergeCell ref="H620:H621"/>
    <mergeCell ref="H625:H626"/>
    <mergeCell ref="H639:H640"/>
    <mergeCell ref="H662:H663"/>
    <mergeCell ref="H635:H636"/>
    <mergeCell ref="H697:H698"/>
    <mergeCell ref="H673:H674"/>
    <mergeCell ref="H679:H680"/>
    <mergeCell ref="H687:H688"/>
    <mergeCell ref="T768:W768"/>
    <mergeCell ref="T604:X605"/>
    <mergeCell ref="H607:H608"/>
    <mergeCell ref="A717:B717"/>
    <mergeCell ref="A608:B608"/>
    <mergeCell ref="A652:B652"/>
    <mergeCell ref="A703:B703"/>
    <mergeCell ref="C713:D713"/>
    <mergeCell ref="A711:B711"/>
    <mergeCell ref="A681:B684"/>
    <mergeCell ref="H807:H808"/>
    <mergeCell ref="H771:H772"/>
    <mergeCell ref="H611:H612"/>
    <mergeCell ref="H602:H603"/>
    <mergeCell ref="B732:C732"/>
    <mergeCell ref="H596:H597"/>
    <mergeCell ref="H793:H794"/>
    <mergeCell ref="H780:H781"/>
    <mergeCell ref="H631:H632"/>
    <mergeCell ref="H764:H765"/>
    <mergeCell ref="H591:H592"/>
    <mergeCell ref="A578:B579"/>
    <mergeCell ref="A550:A553"/>
    <mergeCell ref="A557:A559"/>
    <mergeCell ref="C592:C593"/>
    <mergeCell ref="H582:H583"/>
    <mergeCell ref="H577:H578"/>
    <mergeCell ref="H562:H563"/>
    <mergeCell ref="A577:B577"/>
    <mergeCell ref="A588:B588"/>
    <mergeCell ref="H587:H588"/>
    <mergeCell ref="B563:C566"/>
    <mergeCell ref="H569:H570"/>
    <mergeCell ref="H549:H550"/>
    <mergeCell ref="B562:C562"/>
    <mergeCell ref="B569:C569"/>
    <mergeCell ref="A583:B584"/>
    <mergeCell ref="H526:H527"/>
    <mergeCell ref="H556:H557"/>
    <mergeCell ref="B557:C559"/>
    <mergeCell ref="H540:H541"/>
    <mergeCell ref="B541:C546"/>
    <mergeCell ref="B526:C526"/>
    <mergeCell ref="B550:C553"/>
    <mergeCell ref="B549:C549"/>
    <mergeCell ref="H533:H534"/>
    <mergeCell ref="B527:C530"/>
    <mergeCell ref="H447:H448"/>
    <mergeCell ref="H461:H462"/>
    <mergeCell ref="A128:C128"/>
    <mergeCell ref="A170:E170"/>
    <mergeCell ref="H518:H519"/>
    <mergeCell ref="B491:C494"/>
    <mergeCell ref="B490:C490"/>
    <mergeCell ref="B497:C497"/>
    <mergeCell ref="B512:C515"/>
    <mergeCell ref="B506:C508"/>
    <mergeCell ref="H497:H498"/>
    <mergeCell ref="H490:H491"/>
    <mergeCell ref="B498:C502"/>
    <mergeCell ref="B477:C480"/>
    <mergeCell ref="H511:H512"/>
    <mergeCell ref="B511:C511"/>
    <mergeCell ref="B505:C505"/>
    <mergeCell ref="H505:H506"/>
    <mergeCell ref="B483:C483"/>
    <mergeCell ref="A445:C445"/>
    <mergeCell ref="A541:A546"/>
    <mergeCell ref="B555:C555"/>
    <mergeCell ref="B540:C540"/>
    <mergeCell ref="B533:C533"/>
    <mergeCell ref="A519:A523"/>
    <mergeCell ref="B519:C523"/>
    <mergeCell ref="B455:C458"/>
    <mergeCell ref="A455:A458"/>
    <mergeCell ref="B447:C447"/>
    <mergeCell ref="A69:C69"/>
    <mergeCell ref="A72:C72"/>
    <mergeCell ref="A109:C109"/>
    <mergeCell ref="A83:C83"/>
    <mergeCell ref="A259:E259"/>
    <mergeCell ref="A122:E122"/>
    <mergeCell ref="A251:C251"/>
    <mergeCell ref="A172:C172"/>
    <mergeCell ref="A178:C178"/>
    <mergeCell ref="A217:E217"/>
    <mergeCell ref="A839:B843"/>
    <mergeCell ref="B740:C740"/>
    <mergeCell ref="A811:B811"/>
    <mergeCell ref="A762:E762"/>
    <mergeCell ref="H454:H455"/>
    <mergeCell ref="B462:C465"/>
    <mergeCell ref="H483:H484"/>
    <mergeCell ref="B461:C461"/>
    <mergeCell ref="H468:H469"/>
    <mergeCell ref="H476:H477"/>
    <mergeCell ref="A909:B909"/>
    <mergeCell ref="A920:B920"/>
    <mergeCell ref="A911:B913"/>
    <mergeCell ref="A915:B915"/>
    <mergeCell ref="A917:B918"/>
    <mergeCell ref="C640:C641"/>
    <mergeCell ref="A640:B641"/>
    <mergeCell ref="A663:B663"/>
    <mergeCell ref="A644:B644"/>
    <mergeCell ref="C839:C843"/>
    <mergeCell ref="A114:C114"/>
    <mergeCell ref="A196:C196"/>
    <mergeCell ref="A157:E157"/>
    <mergeCell ref="A159:C159"/>
    <mergeCell ref="A846:B846"/>
    <mergeCell ref="C702:D702"/>
    <mergeCell ref="C597:C599"/>
    <mergeCell ref="A666:B666"/>
    <mergeCell ref="A333:C333"/>
    <mergeCell ref="C626:C628"/>
    <mergeCell ref="A907:B907"/>
    <mergeCell ref="C698:C699"/>
    <mergeCell ref="A891:B891"/>
    <mergeCell ref="A889:B889"/>
    <mergeCell ref="A906:B906"/>
    <mergeCell ref="C922:C925"/>
    <mergeCell ref="A922:B925"/>
    <mergeCell ref="A921:B921"/>
    <mergeCell ref="A916:B916"/>
    <mergeCell ref="A910:B910"/>
    <mergeCell ref="A892:B895"/>
    <mergeCell ref="C917:C918"/>
    <mergeCell ref="A318:E318"/>
    <mergeCell ref="A320:C320"/>
    <mergeCell ref="A323:C323"/>
    <mergeCell ref="C929:C933"/>
    <mergeCell ref="A929:B933"/>
    <mergeCell ref="A885:B885"/>
    <mergeCell ref="A927:B927"/>
    <mergeCell ref="A928:B928"/>
    <mergeCell ref="C716:D716"/>
    <mergeCell ref="A716:B716"/>
    <mergeCell ref="H644:H645"/>
    <mergeCell ref="H652:H653"/>
    <mergeCell ref="H658:H659"/>
    <mergeCell ref="C818:C825"/>
    <mergeCell ref="A818:B825"/>
    <mergeCell ref="A658:B658"/>
    <mergeCell ref="A659:B659"/>
    <mergeCell ref="A362:E362"/>
    <mergeCell ref="A364:C364"/>
    <mergeCell ref="A371:C371"/>
    <mergeCell ref="A667:B670"/>
    <mergeCell ref="C667:C670"/>
    <mergeCell ref="A688:B689"/>
    <mergeCell ref="C674:C677"/>
    <mergeCell ref="C688:C689"/>
    <mergeCell ref="B459:C459"/>
    <mergeCell ref="B467:C467"/>
    <mergeCell ref="S546:AD546"/>
    <mergeCell ref="C23:D23"/>
    <mergeCell ref="A23:B23"/>
    <mergeCell ref="C714:D714"/>
    <mergeCell ref="A714:B714"/>
    <mergeCell ref="H666:H667"/>
    <mergeCell ref="A645:B649"/>
    <mergeCell ref="A680:B680"/>
    <mergeCell ref="A702:B702"/>
    <mergeCell ref="A698:B699"/>
    <mergeCell ref="A937:B938"/>
    <mergeCell ref="C937:C938"/>
    <mergeCell ref="A379:C379"/>
    <mergeCell ref="A384:E384"/>
    <mergeCell ref="A386:C386"/>
    <mergeCell ref="A389:C389"/>
    <mergeCell ref="A884:B884"/>
    <mergeCell ref="A857:B862"/>
    <mergeCell ref="C715:D715"/>
    <mergeCell ref="A715:B715"/>
    <mergeCell ref="A135:E135"/>
    <mergeCell ref="A95:C95"/>
    <mergeCell ref="A935:B935"/>
    <mergeCell ref="A936:B936"/>
    <mergeCell ref="C711:D711"/>
    <mergeCell ref="A673:B673"/>
    <mergeCell ref="A674:B677"/>
    <mergeCell ref="A697:B697"/>
    <mergeCell ref="C43:D43"/>
    <mergeCell ref="A43:B43"/>
    <mergeCell ref="C42:D42"/>
    <mergeCell ref="A42:B42"/>
    <mergeCell ref="A635:B635"/>
    <mergeCell ref="A81:E81"/>
    <mergeCell ref="A99:C99"/>
    <mergeCell ref="A354:C354"/>
    <mergeCell ref="A274:C274"/>
    <mergeCell ref="H692:H693"/>
    <mergeCell ref="A693:B694"/>
    <mergeCell ref="C693:C694"/>
    <mergeCell ref="C681:C684"/>
    <mergeCell ref="A687:B687"/>
    <mergeCell ref="A44:B44"/>
    <mergeCell ref="C44:D44"/>
    <mergeCell ref="A406:C406"/>
    <mergeCell ref="A692:B692"/>
    <mergeCell ref="A137:C137"/>
  </mergeCells>
  <printOptions horizontalCentered="1"/>
  <pageMargins left="0.196850393700787" right="0.196850393700787" top="0.0393700787401575" bottom="0.236220472440945" header="0.31496062992126" footer="0.31496062992126"/>
  <pageSetup fitToHeight="0" fitToWidth="1" horizontalDpi="600" verticalDpi="600" orientation="portrait" paperSize="9" scale="65" r:id="rId1"/>
  <headerFooter alignWithMargins="0">
    <oddHeader>&amp;R&amp;P</oddHeader>
    <oddFooter>&amp;L&amp;14A.O. / Disposal&amp;C&amp;14Sr.XEN. / Disposal&amp;R&amp;14COS and D ( South), PTA</oddFooter>
  </headerFooter>
  <rowBreaks count="13" manualBreakCount="13">
    <brk id="65" max="4" man="1"/>
    <brk id="127" max="4" man="1"/>
    <brk id="188" max="4" man="1"/>
    <brk id="253" max="4" man="1"/>
    <brk id="316" max="4" man="1"/>
    <brk id="378" max="4" man="1"/>
    <brk id="443" max="4" man="1"/>
    <brk id="523" max="4" man="1"/>
    <brk id="604" max="4" man="1"/>
    <brk id="684" max="4" man="1"/>
    <brk id="761" max="4" man="1"/>
    <brk id="835" max="4" man="1"/>
    <brk id="91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93" zoomScaleSheetLayoutView="93" zoomScalePageLayoutView="0" workbookViewId="0" topLeftCell="A1">
      <selection activeCell="E27" sqref="E27"/>
    </sheetView>
  </sheetViews>
  <sheetFormatPr defaultColWidth="9.140625" defaultRowHeight="12.75"/>
  <cols>
    <col min="1" max="1" width="23.140625" style="0" customWidth="1"/>
    <col min="2" max="2" width="69.8515625" style="26" customWidth="1"/>
    <col min="3" max="3" width="24.8515625" style="0" customWidth="1"/>
    <col min="4" max="4" width="9.140625" style="0" hidden="1" customWidth="1"/>
    <col min="5" max="5" width="119.7109375" style="0" customWidth="1"/>
  </cols>
  <sheetData>
    <row r="1" spans="1:3" ht="18">
      <c r="A1" s="417" t="s">
        <v>84</v>
      </c>
      <c r="B1" s="417"/>
      <c r="C1" s="417"/>
    </row>
    <row r="2" spans="1:2" ht="12.75">
      <c r="A2" s="31" t="str">
        <f>scrap!A2</f>
        <v>E - Auction Notice No. -</v>
      </c>
      <c r="B2" s="30" t="str">
        <f>scrap!D2</f>
        <v>EA-62 /PTA-2023-24</v>
      </c>
    </row>
    <row r="3" spans="1:2" ht="12.75">
      <c r="A3" s="31" t="str">
        <f>scrap!A3</f>
        <v>Date of Auction -</v>
      </c>
      <c r="B3" s="30" t="str">
        <f>scrap!D3</f>
        <v>09.01.2024</v>
      </c>
    </row>
    <row r="4" spans="1:2" ht="12.75">
      <c r="A4" s="31"/>
      <c r="B4" s="30"/>
    </row>
    <row r="5" spans="1:3" s="27" customFormat="1" ht="20.25" customHeight="1">
      <c r="A5" s="80" t="s">
        <v>5</v>
      </c>
      <c r="B5" s="209" t="s">
        <v>81</v>
      </c>
      <c r="C5" s="208" t="s">
        <v>82</v>
      </c>
    </row>
    <row r="6" spans="1:5" s="27" customFormat="1" ht="20.25" customHeight="1">
      <c r="A6" s="88" t="s">
        <v>275</v>
      </c>
      <c r="B6" s="120" t="s">
        <v>160</v>
      </c>
      <c r="C6" s="47">
        <v>228</v>
      </c>
      <c r="E6" s="117" t="str">
        <f aca="true" t="shared" si="0" ref="E6:E15">CONCATENATE("E-Waste Scrap (Meter scrap), Lying at ",B6,". Quantity in Kg - ",C6,)</f>
        <v>E-Waste Scrap (Meter scrap), Lying at ME LAB PATIALA (Crushed Meter Scrap/E-Waste). Quantity in Kg - 228</v>
      </c>
    </row>
    <row r="7" spans="1:5" s="27" customFormat="1" ht="20.25" customHeight="1">
      <c r="A7" s="88" t="s">
        <v>276</v>
      </c>
      <c r="B7" s="230" t="s">
        <v>152</v>
      </c>
      <c r="C7" s="173">
        <v>1025</v>
      </c>
      <c r="D7" s="27">
        <v>310</v>
      </c>
      <c r="E7" s="117" t="str">
        <f t="shared" si="0"/>
        <v>E-Waste Scrap (Meter scrap), Lying at ME LAB SANGRUR (Crushed Meter Scrap/E-Waste). Quantity in Kg - 1025</v>
      </c>
    </row>
    <row r="8" spans="1:5" s="27" customFormat="1" ht="20.25" customHeight="1">
      <c r="A8" s="88" t="s">
        <v>277</v>
      </c>
      <c r="B8" s="230" t="s">
        <v>153</v>
      </c>
      <c r="C8" s="173">
        <v>139</v>
      </c>
      <c r="D8" s="27">
        <v>127</v>
      </c>
      <c r="E8" s="117" t="str">
        <f t="shared" si="0"/>
        <v>E-Waste Scrap (Meter scrap), Lying at ME LAB ROPAR (Crushed Meter Scrap/E-Waste). Quantity in Kg - 139</v>
      </c>
    </row>
    <row r="9" spans="1:5" s="27" customFormat="1" ht="20.25" customHeight="1">
      <c r="A9" s="88" t="s">
        <v>278</v>
      </c>
      <c r="B9" s="120" t="s">
        <v>273</v>
      </c>
      <c r="C9" s="47">
        <v>625.39</v>
      </c>
      <c r="E9" s="117" t="str">
        <f t="shared" si="0"/>
        <v>E-Waste Scrap (Meter scrap), Lying at ME LAB MOGA (Crushed Meter Scrap/E-Waste). Quantity in Kg - 625.39</v>
      </c>
    </row>
    <row r="10" spans="1:5" s="27" customFormat="1" ht="20.25" customHeight="1">
      <c r="A10" s="88" t="s">
        <v>279</v>
      </c>
      <c r="B10" s="120" t="s">
        <v>274</v>
      </c>
      <c r="C10" s="47">
        <v>1364.12</v>
      </c>
      <c r="E10" s="117" t="str">
        <f t="shared" si="0"/>
        <v>E-Waste Scrap (Meter scrap), Lying at ME LAB SHRI MUKTSAR SAHIB (Crushed Meter Scrap/E-Waste). Quantity in Kg - 1364.12</v>
      </c>
    </row>
    <row r="11" spans="1:5" s="27" customFormat="1" ht="20.25" customHeight="1">
      <c r="A11" s="88" t="s">
        <v>332</v>
      </c>
      <c r="B11" s="231" t="s">
        <v>331</v>
      </c>
      <c r="C11" s="232">
        <v>2663.065</v>
      </c>
      <c r="D11" s="168">
        <v>1719.865</v>
      </c>
      <c r="E11" s="117" t="str">
        <f t="shared" si="0"/>
        <v>E-Waste Scrap (Meter scrap), Lying at ME LAB SHRI MUKSAR SAHIB  (Electronic Meter Scrap/E-Waste )  . Quantity in Kg - 2663.065</v>
      </c>
    </row>
    <row r="12" spans="1:5" s="27" customFormat="1" ht="20.25" customHeight="1">
      <c r="A12" s="88" t="s">
        <v>439</v>
      </c>
      <c r="B12" s="231" t="s">
        <v>453</v>
      </c>
      <c r="C12" s="232">
        <v>3870</v>
      </c>
      <c r="D12" s="192" t="s">
        <v>243</v>
      </c>
      <c r="E12" s="117" t="str">
        <f t="shared" si="0"/>
        <v>E-Waste Scrap (Meter scrap), Lying at ME LAB SANGRUR  (Electronic Meter Scrap/E-Waste )  . Quantity in Kg - 3870</v>
      </c>
    </row>
    <row r="13" spans="1:5" s="27" customFormat="1" ht="20.25" customHeight="1">
      <c r="A13" s="88" t="s">
        <v>440</v>
      </c>
      <c r="B13" s="231" t="s">
        <v>454</v>
      </c>
      <c r="C13" s="232">
        <v>855</v>
      </c>
      <c r="D13" s="192" t="s">
        <v>243</v>
      </c>
      <c r="E13" s="117" t="str">
        <f t="shared" si="0"/>
        <v>E-Waste Scrap (Meter scrap), Lying at ME LAB ROPAR  (Electronic Meter Scrap/E-Waste )  . Quantity in Kg - 855</v>
      </c>
    </row>
    <row r="14" spans="1:5" s="27" customFormat="1" ht="20.25" customHeight="1">
      <c r="A14" s="88" t="s">
        <v>441</v>
      </c>
      <c r="B14" s="231" t="s">
        <v>467</v>
      </c>
      <c r="C14" s="232">
        <v>495.75</v>
      </c>
      <c r="D14" s="192" t="s">
        <v>243</v>
      </c>
      <c r="E14" s="117" t="str">
        <f t="shared" si="0"/>
        <v>E-Waste Scrap (Meter scrap), Lying at ME LAB BATHINDA  (Electronic Meter Scrap/E-Waste )  . Quantity in Kg - 495.75</v>
      </c>
    </row>
    <row r="15" spans="1:5" s="27" customFormat="1" ht="20.25" customHeight="1">
      <c r="A15" s="88" t="s">
        <v>469</v>
      </c>
      <c r="B15" s="231" t="s">
        <v>468</v>
      </c>
      <c r="C15" s="232">
        <v>421.592</v>
      </c>
      <c r="D15" s="192" t="s">
        <v>243</v>
      </c>
      <c r="E15" s="117" t="str">
        <f t="shared" si="0"/>
        <v>E-Waste Scrap (Meter scrap), Lying at ME LAB MOGA (Electronic Meter Scrap/E-Waste )  . Quantity in Kg - 421.592</v>
      </c>
    </row>
    <row r="16" spans="1:5" s="27" customFormat="1" ht="20.25" customHeight="1">
      <c r="A16" s="190"/>
      <c r="B16" s="87"/>
      <c r="C16" s="191"/>
      <c r="D16" s="192"/>
      <c r="E16" s="193"/>
    </row>
    <row r="17" spans="1:5" s="27" customFormat="1" ht="37.5" customHeight="1">
      <c r="A17" s="418" t="s">
        <v>390</v>
      </c>
      <c r="B17" s="418"/>
      <c r="C17" s="418"/>
      <c r="D17" s="194"/>
      <c r="E17" s="194"/>
    </row>
    <row r="18" spans="1:5" s="27" customFormat="1" ht="20.25" customHeight="1">
      <c r="A18" s="418"/>
      <c r="B18" s="418"/>
      <c r="C18" s="418"/>
      <c r="D18" s="195"/>
      <c r="E18" s="195"/>
    </row>
    <row r="19" spans="1:5" s="27" customFormat="1" ht="39.75" customHeight="1">
      <c r="A19" s="418"/>
      <c r="B19" s="418"/>
      <c r="C19" s="418"/>
      <c r="D19" s="192"/>
      <c r="E19" s="193"/>
    </row>
    <row r="20" spans="1:5" s="27" customFormat="1" ht="15" customHeight="1">
      <c r="A20" s="196"/>
      <c r="B20" s="207" t="s">
        <v>215</v>
      </c>
      <c r="C20" s="208" t="s">
        <v>389</v>
      </c>
      <c r="D20" s="192"/>
      <c r="E20" s="193"/>
    </row>
    <row r="21" spans="1:5" s="27" customFormat="1" ht="20.25" customHeight="1">
      <c r="A21" s="88" t="s">
        <v>470</v>
      </c>
      <c r="B21" s="122" t="s">
        <v>387</v>
      </c>
      <c r="C21" s="204">
        <v>1</v>
      </c>
      <c r="D21" s="192"/>
      <c r="E21" s="117" t="str">
        <f>CONCATENATE("E-Waste Scrap (U/S AC WINDOW), Lying at ",B21,". Quantity in No - ",C21,)</f>
        <v>E-Waste Scrap (U/S AC WINDOW), Lying at CS SANGRUR (U/S AC WINDOW). Quantity in No - 1</v>
      </c>
    </row>
    <row r="22" spans="1:5" s="27" customFormat="1" ht="20.25" customHeight="1">
      <c r="A22" s="88" t="s">
        <v>471</v>
      </c>
      <c r="B22" s="122" t="s">
        <v>388</v>
      </c>
      <c r="C22" s="204">
        <v>14</v>
      </c>
      <c r="D22" s="192"/>
      <c r="E22" s="117" t="str">
        <f>CONCATENATE("E-Waste Scrap (U/S AC WINDOW), Lying at ",B22,". Quantity in No - ",C22,)</f>
        <v>E-Waste Scrap (U/S AC WINDOW), Lying at CS PATIALA  (U/S AC WINDOW). Quantity in No - 14</v>
      </c>
    </row>
    <row r="23" spans="1:5" s="27" customFormat="1" ht="20.25" customHeight="1">
      <c r="A23" s="88" t="s">
        <v>472</v>
      </c>
      <c r="B23" s="122" t="s">
        <v>400</v>
      </c>
      <c r="C23" s="204">
        <v>18</v>
      </c>
      <c r="D23" s="192"/>
      <c r="E23" s="117" t="str">
        <f>CONCATENATE("E-Waste Scrap (U/S STABLIZERS), Lying at ",B23,". Quantity in No - ",C23,)</f>
        <v>E-Waste Scrap (U/S STABLIZERS), Lying at CS PATIALA  (U/S STABLIZERS). Quantity in No - 18</v>
      </c>
    </row>
    <row r="24" spans="1:5" s="27" customFormat="1" ht="20.25" customHeight="1">
      <c r="A24" s="190"/>
      <c r="B24" s="220"/>
      <c r="C24" s="219"/>
      <c r="D24" s="192"/>
      <c r="E24" s="193"/>
    </row>
    <row r="25" spans="1:3" s="27" customFormat="1" ht="15" customHeight="1">
      <c r="A25" s="37"/>
      <c r="B25" s="38"/>
      <c r="C25" s="87"/>
    </row>
    <row r="26" spans="1:3" s="27" customFormat="1" ht="15.75">
      <c r="A26" s="32" t="s">
        <v>83</v>
      </c>
      <c r="B26" s="33" t="s">
        <v>87</v>
      </c>
      <c r="C26" s="34" t="s">
        <v>86</v>
      </c>
    </row>
    <row r="27" spans="1:3" s="27" customFormat="1" ht="15.75">
      <c r="A27" s="32" t="s">
        <v>85</v>
      </c>
      <c r="B27" s="32" t="s">
        <v>85</v>
      </c>
      <c r="C27" s="32" t="s">
        <v>85</v>
      </c>
    </row>
    <row r="28" spans="1:3" s="27" customFormat="1" ht="15">
      <c r="A28" s="28"/>
      <c r="B28" s="29"/>
      <c r="C28" s="28"/>
    </row>
  </sheetData>
  <sheetProtection/>
  <mergeCells count="2">
    <mergeCell ref="A1:C1"/>
    <mergeCell ref="A17:C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Rajiv</dc:creator>
  <cp:keywords/>
  <dc:description/>
  <cp:lastModifiedBy>Administrator</cp:lastModifiedBy>
  <cp:lastPrinted>2024-01-08T07:33:10Z</cp:lastPrinted>
  <dcterms:created xsi:type="dcterms:W3CDTF">1996-10-14T23:33:28Z</dcterms:created>
  <dcterms:modified xsi:type="dcterms:W3CDTF">2024-01-08T07:35:52Z</dcterms:modified>
  <cp:category/>
  <cp:version/>
  <cp:contentType/>
  <cp:contentStatus/>
</cp:coreProperties>
</file>