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770" tabRatio="911" activeTab="0"/>
  </bookViews>
  <sheets>
    <sheet name="scrap" sheetId="1" r:id="rId1"/>
    <sheet name="E-WASTE" sheetId="2" r:id="rId2"/>
  </sheets>
  <definedNames>
    <definedName name="_xlnm.Print_Area" localSheetId="0">'scrap'!$A$1:$E$819</definedName>
  </definedNames>
  <calcPr fullCalcOnLoad="1"/>
</workbook>
</file>

<file path=xl/sharedStrings.xml><?xml version="1.0" encoding="utf-8"?>
<sst xmlns="http://schemas.openxmlformats.org/spreadsheetml/2006/main" count="1378" uniqueCount="527">
  <si>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</si>
  <si>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</si>
  <si>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</si>
  <si>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</si>
  <si>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</si>
  <si>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</si>
  <si>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</si>
  <si>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</si>
  <si>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</si>
  <si>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</si>
  <si>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</si>
  <si>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</si>
  <si>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</si>
  <si>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</si>
  <si>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</si>
  <si>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</si>
  <si>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</si>
  <si>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</si>
  <si>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</si>
  <si>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</si>
  <si>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</si>
  <si>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</si>
  <si>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</si>
  <si>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</si>
  <si>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</si>
  <si>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</si>
  <si>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</si>
  <si>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</si>
  <si>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</si>
  <si>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</si>
  <si>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</si>
  <si>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</si>
  <si>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</si>
  <si>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</si>
  <si>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</si>
  <si>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</si>
  <si>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</si>
  <si>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</si>
  <si>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</si>
  <si>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</si>
  <si>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</si>
  <si>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</si>
  <si>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</si>
  <si>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</si>
  <si>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</si>
  <si>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</si>
  <si>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</si>
  <si>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</si>
  <si>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</si>
  <si>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</si>
  <si>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</si>
  <si>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</si>
  <si>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Lot no. Q-9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</si>
  <si>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</si>
  <si>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</si>
  <si>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</si>
  <si>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</si>
  <si>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</si>
  <si>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</si>
  <si>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</si>
  <si>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</si>
  <si>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</si>
  <si>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</si>
  <si>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</si>
  <si>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</si>
  <si>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</si>
  <si>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</si>
  <si>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</si>
  <si>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</si>
  <si>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</si>
  <si>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</si>
  <si>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</si>
  <si>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</si>
  <si>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</si>
  <si>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</si>
  <si>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</si>
  <si>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</si>
  <si>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</si>
  <si>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</si>
  <si>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</si>
  <si>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</si>
  <si>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</si>
  <si>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</si>
  <si>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</si>
  <si>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</si>
  <si>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</si>
  <si>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</si>
  <si>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</si>
  <si>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</si>
  <si>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</si>
  <si>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</si>
  <si>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</si>
  <si>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</si>
  <si>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</si>
  <si>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</si>
  <si>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</si>
  <si>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</si>
  <si>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</si>
  <si>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</si>
  <si>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</si>
  <si>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</si>
  <si>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</si>
  <si>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</si>
  <si>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</si>
  <si>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store Nabha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</si>
  <si>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</si>
  <si>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</si>
  <si>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</si>
  <si>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</si>
  <si>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</si>
  <si>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</si>
  <si>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</si>
  <si>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</si>
  <si>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</si>
  <si>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</si>
  <si>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</si>
  <si>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</si>
  <si>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</si>
  <si>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</si>
  <si>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</si>
  <si>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</si>
  <si>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</si>
  <si>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</si>
  <si>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</si>
  <si>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</si>
  <si>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</si>
  <si>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</si>
  <si>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</si>
  <si>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</si>
  <si>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</si>
  <si>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</si>
  <si>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</si>
  <si>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</si>
  <si>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</si>
  <si>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</si>
  <si>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</si>
  <si>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</si>
  <si>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</si>
  <si>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</si>
  <si>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</si>
  <si>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</si>
  <si>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</si>
  <si>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</si>
  <si>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</si>
  <si>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</si>
  <si>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</si>
  <si>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</si>
  <si>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</si>
  <si>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</si>
  <si>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</si>
  <si>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</si>
  <si>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</si>
  <si>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</si>
  <si>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</si>
  <si>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</si>
  <si>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</si>
  <si>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</si>
  <si>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</si>
  <si>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</si>
  <si>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</si>
  <si>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 xml:space="preserve">ME LAB PATIALA  (Electronic Meter Scrap/E-Waste )  </t>
  </si>
  <si>
    <t xml:space="preserve">ME LAB ROPAR  (Electronic Meter Scrap/E-Waste )  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</si>
  <si>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</si>
  <si>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</si>
  <si>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</si>
  <si>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</si>
  <si>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</si>
  <si>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</si>
  <si>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</si>
  <si>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</si>
  <si>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</si>
  <si>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</si>
  <si>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</si>
  <si>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</si>
  <si>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</si>
  <si>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</si>
  <si>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</si>
  <si>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</si>
  <si>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</si>
  <si>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</si>
  <si>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</si>
  <si>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</si>
  <si>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</si>
  <si>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</si>
  <si>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</si>
  <si>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</si>
  <si>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</si>
  <si>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</si>
  <si>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</si>
  <si>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</si>
  <si>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</si>
  <si>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</si>
  <si>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</si>
  <si>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</si>
  <si>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</si>
  <si>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</si>
  <si>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</si>
  <si>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</si>
  <si>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</si>
  <si>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</si>
  <si>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</si>
  <si>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</si>
  <si>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</si>
  <si>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</si>
  <si>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</si>
  <si>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</si>
  <si>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</si>
  <si>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</si>
  <si>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</si>
  <si>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</si>
  <si>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</si>
  <si>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</si>
  <si>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</si>
  <si>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</si>
  <si>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</si>
  <si>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</si>
  <si>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>Lot no. E - 19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</si>
  <si>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</si>
  <si>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</si>
  <si>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</si>
  <si>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</si>
  <si>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</si>
  <si>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</si>
  <si>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</si>
  <si>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</si>
  <si>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</si>
  <si>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</si>
  <si>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</si>
  <si>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</si>
  <si>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</si>
  <si>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</si>
  <si>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</si>
  <si>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</si>
  <si>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</si>
  <si>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</si>
  <si>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</si>
  <si>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</si>
  <si>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</si>
  <si>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</si>
  <si>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</si>
  <si>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</si>
  <si>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</si>
  <si>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</si>
  <si>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</si>
  <si>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</si>
  <si>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</si>
  <si>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</si>
  <si>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</si>
  <si>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</si>
  <si>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</si>
  <si>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</si>
  <si>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</si>
  <si>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</si>
  <si>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</si>
  <si>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</si>
  <si>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</si>
  <si>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</si>
  <si>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</si>
  <si>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</si>
  <si>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</si>
  <si>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</si>
  <si>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</si>
  <si>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</si>
  <si>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</si>
  <si>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</si>
  <si>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</si>
  <si>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</si>
  <si>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</si>
  <si>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</si>
  <si>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</si>
  <si>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200 KVA</t>
  </si>
  <si>
    <t>PTEL-1</t>
  </si>
  <si>
    <t>Outlet store Fazilka</t>
  </si>
  <si>
    <t>Lot No B-10</t>
  </si>
  <si>
    <t>Lot No B-11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</si>
  <si>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</si>
  <si>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</si>
  <si>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</si>
  <si>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</si>
  <si>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</si>
  <si>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</si>
  <si>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</si>
  <si>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</si>
  <si>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</si>
  <si>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</si>
  <si>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</si>
  <si>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</si>
  <si>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</si>
  <si>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</si>
  <si>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</si>
  <si>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</si>
  <si>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 xml:space="preserve">ME LAB SANGRUR  (Electronic Meter Scrap/E-Waste )  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</si>
  <si>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</si>
  <si>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</si>
  <si>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</si>
  <si>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</si>
  <si>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</si>
  <si>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</si>
  <si>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</si>
  <si>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SARAF 1, NUCON 3, JR 1, PTEL 1, TA 3, SICL 2</t>
  </si>
  <si>
    <t>AGARWAL 1, JR 4, UTTAM 1, TA 1, NPC 1, STAR 1, JM 1, PP 1,</t>
  </si>
  <si>
    <t>JR 1, JB 1</t>
  </si>
  <si>
    <t>ARD 2, JB 2, ECO 1, SICL 2, PTEL 1, JBK 1</t>
  </si>
  <si>
    <t>SR IMPEX 1, UP 1,</t>
  </si>
  <si>
    <t>JB 1, PP 1, TA 1</t>
  </si>
  <si>
    <t>ELE 1</t>
  </si>
  <si>
    <t>VIJAI 1, SICL 1</t>
  </si>
  <si>
    <t>63 KVA (amorphous core)</t>
  </si>
  <si>
    <t>NPC-1 (amorphous core)</t>
  </si>
  <si>
    <t>GEES -1</t>
  </si>
  <si>
    <t xml:space="preserve"> JBB=1 (unstandard tf's)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</si>
  <si>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</si>
  <si>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</si>
  <si>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</si>
  <si>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</si>
  <si>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</si>
  <si>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HITECH=2,JM=2,JR=4,MS=2,NUCON=3,PP=3,PTEL=3,PTEL/PME=1,SARAF=2,SUSHIL=1,SICL=2</t>
  </si>
  <si>
    <t>AMSON=1,DURABLE=1,HR=5,JM=1,JR=5,MS=2,PTEL=3,SICL=1,TA=6</t>
  </si>
  <si>
    <t>AGGARWAL=2,HITECH=1,HR=4,JM=1,JR=3,NUCON=3,PTEL=2,SICL=1,SUSHIL=1,TA=2</t>
  </si>
  <si>
    <t>ARD=2,HR=2,JB=2,AJAY=1,NV=8,MS=6,NPC=3,PP=1(unstandard tf's)</t>
  </si>
  <si>
    <t>ARD=1,HR=3,JB=2,JB/NV=3,MS=3,NUCON=2 (unstandard tf's)</t>
  </si>
  <si>
    <t>JB/NV=2 (unstandard tf's)</t>
  </si>
  <si>
    <t>KISAN=2 (unstandard tf's)</t>
  </si>
  <si>
    <t>JB=1,JB/NV=1,MS=2,()unstandard tf's)</t>
  </si>
  <si>
    <t>ARD=1,DURABLE=2,JM=1,JR=6,MS=3,NUCON=4,PP=4,SARAF=2,SHIVA=1,TA=1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</si>
  <si>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</si>
  <si>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</si>
  <si>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</si>
  <si>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</si>
  <si>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</si>
  <si>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</si>
  <si>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DAUSA - 1, PTEL - 1, SIC-1</t>
  </si>
  <si>
    <t>SARAF - 2, PP - 1</t>
  </si>
  <si>
    <t>WNP-14 (unstandard tf's)</t>
  </si>
  <si>
    <t>WNP-7 (unstandard tf's)</t>
  </si>
  <si>
    <t>NPC-1,PTEL-2,JB-1</t>
  </si>
  <si>
    <t>SUSHIL-1,SIC-1</t>
  </si>
  <si>
    <t>PPI-1,NSL-1</t>
  </si>
  <si>
    <t>JB-3,ECN-1,PTEL-1,ARD-1,NPC-1</t>
  </si>
  <si>
    <t>ELECTRA-1,SCN-1</t>
  </si>
  <si>
    <t>TA-2</t>
  </si>
  <si>
    <t>HBP-2,JB-1</t>
  </si>
  <si>
    <t>200 KVA (CORE &amp; TANK)</t>
  </si>
  <si>
    <t xml:space="preserve">DTB-7,NPC-1 </t>
  </si>
  <si>
    <t>300 KVA (CORE &amp; TANK)</t>
  </si>
  <si>
    <t>MRN-1</t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</si>
  <si>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</si>
  <si>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</si>
  <si>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</si>
  <si>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</si>
  <si>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</si>
  <si>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</si>
  <si>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</si>
  <si>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</si>
  <si>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</si>
  <si>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</si>
  <si>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>PTEL-3, PP-3</t>
  </si>
  <si>
    <t>SICL-2</t>
  </si>
  <si>
    <t>ECO-1, SICL-1</t>
  </si>
  <si>
    <t>Lot No B-12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</si>
  <si>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</si>
  <si>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SUSHIL-1,JK-1,SICL-1,EPS-2,SHIVALIK-1</t>
  </si>
  <si>
    <t>JB-1,NUCON-2,NPC-2,TA-2,SBI-2,SICL-3</t>
  </si>
  <si>
    <t>ELECTRA-1,NUCON-1,JB-1,SHIVSHAKTI-2</t>
  </si>
  <si>
    <t>PP-1,JB-1</t>
  </si>
  <si>
    <t>MAHASHAKTI-1(unstandard tf's)</t>
  </si>
  <si>
    <t>ALCON-1 (unstandard tf's)</t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</si>
  <si>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</si>
  <si>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54/2023</t>
  </si>
  <si>
    <t>SKYWAY-1, UTTAM-1, SHIVALIK-1</t>
  </si>
  <si>
    <t>55/2023</t>
  </si>
  <si>
    <t>UP T/F-1, JR-1, HI TECH-1</t>
  </si>
  <si>
    <t>BHOPAL-1, DANISH-1, PME-1, NUCON-1</t>
  </si>
  <si>
    <t>56/2023</t>
  </si>
  <si>
    <t xml:space="preserve"> WNP=2 (unstandard tf's)</t>
  </si>
  <si>
    <t>57/2023</t>
  </si>
  <si>
    <r>
      <t xml:space="preserve">Lot No. C12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</si>
  <si>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 xml:space="preserve"> WNP=25 (unstandard tf's)</t>
  </si>
  <si>
    <t xml:space="preserve"> WNP=29 (unstandard tf's)</t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</si>
  <si>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</si>
  <si>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</si>
  <si>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</si>
  <si>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</si>
  <si>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</si>
  <si>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</si>
  <si>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</si>
  <si>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</si>
  <si>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</si>
  <si>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</si>
  <si>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S &amp; T Store Bathinda ( .465 MT intermingle )</t>
  </si>
  <si>
    <t xml:space="preserve">S &amp; T Store Bathinda </t>
  </si>
  <si>
    <t>Lot no. Q-29</t>
  </si>
  <si>
    <t>Lot No A-15</t>
  </si>
  <si>
    <t>Lot No A-16</t>
  </si>
  <si>
    <t>Lot No A-17</t>
  </si>
  <si>
    <t>Central Store Malout</t>
  </si>
  <si>
    <t>Lot no. I-7</t>
  </si>
  <si>
    <t>CS Bathinda (.095 MT intermingle)</t>
  </si>
  <si>
    <t>OL Shri Mukfsar Sahib</t>
  </si>
  <si>
    <t>Lot no. Q-30</t>
  </si>
  <si>
    <t>CS Ferozepur( .004 MT intermingle )</t>
  </si>
  <si>
    <t xml:space="preserve">ME LAB BATHINDA  (Electronic Meter Scrap/E-Waste )  </t>
  </si>
  <si>
    <t xml:space="preserve">ME LAB MOGA (Electronic Meter Scrap/E-Waste )  </t>
  </si>
  <si>
    <t xml:space="preserve">ME LAB SHRI MUKSAR SAHIB  (Electronic Meter Scrap/E-Waste )  </t>
  </si>
  <si>
    <t>Lot No. I-15</t>
  </si>
  <si>
    <t>Lot No. I-16</t>
  </si>
  <si>
    <t>Lot No. I-17</t>
  </si>
  <si>
    <t>Lot No. I-18</t>
  </si>
  <si>
    <t>TRY Barnala</t>
  </si>
  <si>
    <t>Lot no. Q-31</t>
  </si>
  <si>
    <t>Lot no. Q-32</t>
  </si>
  <si>
    <t>Lot no. Q-33</t>
  </si>
  <si>
    <t>Lot No A-18</t>
  </si>
  <si>
    <t>CS Patiala (.025 MT intermingle )</t>
  </si>
  <si>
    <t>ARDISON-1,SKYWAY-1,UTTAM-2</t>
  </si>
  <si>
    <t>NUCON-1,MS-1</t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</si>
  <si>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</si>
  <si>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</si>
  <si>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</si>
  <si>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</si>
  <si>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</si>
  <si>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</si>
  <si>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Lot No. I-19</t>
  </si>
  <si>
    <t>EA-58 /PTA-2023-24</t>
  </si>
  <si>
    <t>19.12.2023</t>
  </si>
  <si>
    <t>im .237 same</t>
  </si>
  <si>
    <t>Lot No A-19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</si>
  <si>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</si>
  <si>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</si>
  <si>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</si>
  <si>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</si>
  <si>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</si>
  <si>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</si>
  <si>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</si>
  <si>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</si>
  <si>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</si>
  <si>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</si>
  <si>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</si>
  <si>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</si>
  <si>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</si>
  <si>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</si>
  <si>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</si>
  <si>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</si>
  <si>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</si>
  <si>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</si>
  <si>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</si>
  <si>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</si>
  <si>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</si>
  <si>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</si>
  <si>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</si>
  <si>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</si>
  <si>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</si>
  <si>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</si>
  <si>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</si>
  <si>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</si>
  <si>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</si>
  <si>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</si>
  <si>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</si>
  <si>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</si>
  <si>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</si>
  <si>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</si>
  <si>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</si>
  <si>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</si>
  <si>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</si>
  <si>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</si>
  <si>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</si>
  <si>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</si>
  <si>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</si>
  <si>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</si>
  <si>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</si>
  <si>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</si>
  <si>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</si>
  <si>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AA - LT ABC Cable scrap without insulation:-</t>
  </si>
  <si>
    <t>Lot No AA-1</t>
  </si>
  <si>
    <t>U/S Tyres</t>
  </si>
  <si>
    <t>U/S Tubes</t>
  </si>
  <si>
    <t>Lot No. I-20</t>
  </si>
  <si>
    <t>Lot No. I-21</t>
  </si>
  <si>
    <t>Lot No. I-22</t>
  </si>
  <si>
    <t>Lot No. I-23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</si>
  <si>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</si>
  <si>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</si>
  <si>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</si>
  <si>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</si>
  <si>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</si>
  <si>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</si>
  <si>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</si>
  <si>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</si>
  <si>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</si>
  <si>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</si>
  <si>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 xml:space="preserve">U/S CT </t>
  </si>
  <si>
    <t>Lot no. I-9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</si>
  <si>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</si>
  <si>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</si>
  <si>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</si>
  <si>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</si>
  <si>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</si>
  <si>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</si>
  <si>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</si>
  <si>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</si>
  <si>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</si>
  <si>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</si>
  <si>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SICL 1, HITECH 2, JB 1,</t>
  </si>
  <si>
    <t xml:space="preserve">NPC 1, PP 1(unstandard tf's)      </t>
  </si>
  <si>
    <t xml:space="preserve">JR 1, AGARWAL 1,(unstandard tf's)      </t>
  </si>
  <si>
    <t xml:space="preserve">NOTE : Before lifting of Transformers (From Lot no. C-1 to C-19), HT/LT copper winding coils of transformers shall be mutilated by the purchaser. </t>
  </si>
  <si>
    <t>144 A/2023</t>
  </si>
  <si>
    <t>145 A/2023</t>
  </si>
  <si>
    <t>146 A/2023</t>
  </si>
  <si>
    <t>147 A/2023</t>
  </si>
  <si>
    <t>149 A/2023</t>
  </si>
  <si>
    <t>150 A/2023</t>
  </si>
  <si>
    <t>151 A/2023</t>
  </si>
  <si>
    <t>152 A/2023</t>
  </si>
  <si>
    <t>153 A/2023</t>
  </si>
  <si>
    <t>154 A/2023</t>
  </si>
  <si>
    <t>148 A/2023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</si>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</sst>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/mm/yyyy"/>
  </numFmts>
  <fonts count="8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184" fontId="73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73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top"/>
    </xf>
    <xf numFmtId="1" fontId="78" fillId="0" borderId="0" xfId="0" applyNumberFormat="1" applyFont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9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184" fontId="75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84" fontId="75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4" fontId="75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84" fontId="79" fillId="0" borderId="14" xfId="0" applyNumberFormat="1" applyFont="1" applyFill="1" applyBorder="1" applyAlignment="1">
      <alignment horizontal="center" vertical="center" wrapText="1"/>
    </xf>
    <xf numFmtId="1" fontId="75" fillId="0" borderId="2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75" fillId="0" borderId="15" xfId="0" applyNumberFormat="1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4" fontId="79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top" wrapText="1"/>
    </xf>
    <xf numFmtId="184" fontId="10" fillId="0" borderId="2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184" fontId="10" fillId="0" borderId="22" xfId="0" applyNumberFormat="1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84" fontId="10" fillId="0" borderId="22" xfId="0" applyNumberFormat="1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/>
    </xf>
    <xf numFmtId="184" fontId="79" fillId="0" borderId="22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top" wrapText="1"/>
    </xf>
    <xf numFmtId="184" fontId="75" fillId="0" borderId="13" xfId="0" applyNumberFormat="1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84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6" fillId="0" borderId="16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4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0" fillId="32" borderId="13" xfId="57" applyFont="1" applyFill="1" applyBorder="1" applyAlignment="1">
      <alignment horizontal="center" vertical="center"/>
      <protection/>
    </xf>
    <xf numFmtId="0" fontId="79" fillId="0" borderId="13" xfId="0" applyFont="1" applyBorder="1" applyAlignment="1">
      <alignment horizontal="center" vertical="center" wrapText="1"/>
    </xf>
    <xf numFmtId="2" fontId="77" fillId="0" borderId="0" xfId="0" applyNumberFormat="1" applyFont="1" applyAlignment="1">
      <alignment/>
    </xf>
    <xf numFmtId="184" fontId="79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/>
    </xf>
    <xf numFmtId="184" fontId="79" fillId="0" borderId="14" xfId="0" applyNumberFormat="1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 wrapText="1"/>
      <protection/>
    </xf>
    <xf numFmtId="184" fontId="2" fillId="0" borderId="13" xfId="0" applyNumberFormat="1" applyFont="1" applyFill="1" applyBorder="1" applyAlignment="1">
      <alignment horizontal="center"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184" fontId="75" fillId="0" borderId="15" xfId="0" applyNumberFormat="1" applyFont="1" applyFill="1" applyBorder="1" applyAlignment="1">
      <alignment horizontal="right" vertical="center" wrapText="1"/>
    </xf>
    <xf numFmtId="184" fontId="10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top" wrapText="1"/>
    </xf>
    <xf numFmtId="184" fontId="10" fillId="0" borderId="23" xfId="0" applyNumberFormat="1" applyFont="1" applyFill="1" applyBorder="1" applyAlignment="1">
      <alignment horizontal="center" vertical="center" wrapText="1"/>
    </xf>
    <xf numFmtId="184" fontId="75" fillId="0" borderId="24" xfId="0" applyNumberFormat="1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0" fillId="33" borderId="13" xfId="57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4" fillId="0" borderId="2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1" fontId="79" fillId="0" borderId="13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184" fontId="10" fillId="0" borderId="23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/>
    </xf>
    <xf numFmtId="0" fontId="77" fillId="0" borderId="13" xfId="0" applyFont="1" applyBorder="1" applyAlignment="1">
      <alignment/>
    </xf>
    <xf numFmtId="184" fontId="70" fillId="0" borderId="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Fill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76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83" fillId="0" borderId="13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0" fontId="84" fillId="32" borderId="13" xfId="0" applyFont="1" applyFill="1" applyBorder="1" applyAlignment="1">
      <alignment horizontal="center" vertical="center" wrapText="1"/>
    </xf>
    <xf numFmtId="0" fontId="79" fillId="32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/>
    </xf>
    <xf numFmtId="0" fontId="79" fillId="33" borderId="23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/>
    </xf>
    <xf numFmtId="0" fontId="84" fillId="32" borderId="13" xfId="0" applyFont="1" applyFill="1" applyBorder="1" applyAlignment="1">
      <alignment horizontal="center" vertical="center"/>
    </xf>
    <xf numFmtId="0" fontId="84" fillId="32" borderId="23" xfId="0" applyFont="1" applyFill="1" applyBorder="1" applyAlignment="1">
      <alignment horizontal="center" vertical="center"/>
    </xf>
    <xf numFmtId="0" fontId="84" fillId="32" borderId="25" xfId="0" applyFont="1" applyFill="1" applyBorder="1" applyAlignment="1">
      <alignment horizontal="center" vertical="center" wrapText="1"/>
    </xf>
    <xf numFmtId="0" fontId="84" fillId="32" borderId="13" xfId="0" applyFont="1" applyFill="1" applyBorder="1" applyAlignment="1">
      <alignment horizontal="center"/>
    </xf>
    <xf numFmtId="0" fontId="84" fillId="33" borderId="13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top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184" fontId="79" fillId="0" borderId="15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top" wrapText="1"/>
    </xf>
    <xf numFmtId="184" fontId="75" fillId="0" borderId="0" xfId="0" applyNumberFormat="1" applyFont="1" applyFill="1" applyBorder="1" applyAlignment="1">
      <alignment horizontal="center" vertical="top" wrapText="1"/>
    </xf>
    <xf numFmtId="184" fontId="75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9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center" wrapText="1"/>
    </xf>
    <xf numFmtId="2" fontId="79" fillId="0" borderId="13" xfId="0" applyNumberFormat="1" applyFont="1" applyFill="1" applyBorder="1" applyAlignment="1">
      <alignment horizontal="center" vertical="top" wrapText="1"/>
    </xf>
    <xf numFmtId="2" fontId="79" fillId="0" borderId="13" xfId="0" applyNumberFormat="1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76" fillId="0" borderId="14" xfId="0" applyFont="1" applyFill="1" applyBorder="1" applyAlignment="1">
      <alignment horizontal="left" vertical="top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184" fontId="79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justify" vertical="top" wrapText="1"/>
    </xf>
    <xf numFmtId="0" fontId="76" fillId="0" borderId="22" xfId="0" applyFont="1" applyFill="1" applyBorder="1" applyAlignment="1">
      <alignment horizontal="justify" vertical="top" wrapText="1"/>
    </xf>
    <xf numFmtId="0" fontId="74" fillId="0" borderId="17" xfId="0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6" fillId="0" borderId="12" xfId="0" applyFont="1" applyFill="1" applyBorder="1" applyAlignment="1">
      <alignment horizontal="center" vertical="top" wrapText="1"/>
    </xf>
    <xf numFmtId="0" fontId="86" fillId="0" borderId="17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75" fillId="0" borderId="26" xfId="0" applyFont="1" applyFill="1" applyBorder="1" applyAlignment="1">
      <alignment horizontal="center" vertical="top" wrapText="1"/>
    </xf>
    <xf numFmtId="0" fontId="75" fillId="0" borderId="27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justify" vertical="top" wrapText="1"/>
    </xf>
    <xf numFmtId="0" fontId="76" fillId="0" borderId="16" xfId="0" applyFont="1" applyFill="1" applyBorder="1" applyAlignment="1">
      <alignment horizontal="justify" vertical="top" wrapText="1"/>
    </xf>
    <xf numFmtId="0" fontId="76" fillId="0" borderId="14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wrapText="1"/>
    </xf>
    <xf numFmtId="0" fontId="74" fillId="0" borderId="16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horizontal="left" vertical="top" wrapText="1"/>
    </xf>
    <xf numFmtId="0" fontId="74" fillId="0" borderId="19" xfId="0" applyFont="1" applyFill="1" applyBorder="1" applyAlignment="1">
      <alignment horizontal="left" vertical="top" wrapText="1"/>
    </xf>
    <xf numFmtId="0" fontId="75" fillId="0" borderId="13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 wrapText="1"/>
    </xf>
    <xf numFmtId="0" fontId="74" fillId="0" borderId="14" xfId="0" applyFont="1" applyFill="1" applyBorder="1" applyAlignment="1">
      <alignment horizontal="center" vertical="top" wrapText="1"/>
    </xf>
    <xf numFmtId="0" fontId="87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1"/>
  <sheetViews>
    <sheetView tabSelected="1" view="pageBreakPreview" zoomScale="97" zoomScaleNormal="70" zoomScaleSheetLayoutView="97" zoomScalePageLayoutView="70" workbookViewId="0" topLeftCell="A1">
      <selection activeCell="C12" sqref="C12:D12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30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69" t="s">
        <v>73</v>
      </c>
      <c r="B1" s="370"/>
      <c r="C1" s="370"/>
      <c r="D1" s="370"/>
      <c r="E1" s="370"/>
    </row>
    <row r="2" spans="1:4" ht="19.5" customHeight="1">
      <c r="A2" s="371" t="s">
        <v>9</v>
      </c>
      <c r="B2" s="372"/>
      <c r="C2" s="372"/>
      <c r="D2" s="5" t="s">
        <v>423</v>
      </c>
    </row>
    <row r="3" spans="1:4" ht="16.5" customHeight="1">
      <c r="A3" s="371" t="s">
        <v>10</v>
      </c>
      <c r="B3" s="372"/>
      <c r="C3" s="372"/>
      <c r="D3" s="5" t="s">
        <v>424</v>
      </c>
    </row>
    <row r="4" spans="1:5" ht="31.5" customHeight="1">
      <c r="A4" s="373" t="s">
        <v>239</v>
      </c>
      <c r="B4" s="374"/>
      <c r="C4" s="374"/>
      <c r="D4" s="374"/>
      <c r="E4" s="374"/>
    </row>
    <row r="5" spans="1:6" ht="19.5" customHeight="1">
      <c r="A5" s="367" t="s">
        <v>0</v>
      </c>
      <c r="B5" s="368"/>
      <c r="C5" s="368"/>
      <c r="D5" s="368"/>
      <c r="E5" s="79" t="s">
        <v>7</v>
      </c>
      <c r="F5" s="169"/>
    </row>
    <row r="6" spans="1:8" ht="17.25" customHeight="1">
      <c r="A6" s="308" t="s">
        <v>75</v>
      </c>
      <c r="B6" s="326"/>
      <c r="C6" s="303" t="s">
        <v>147</v>
      </c>
      <c r="D6" s="303"/>
      <c r="E6" s="51">
        <v>3.799</v>
      </c>
      <c r="H6" s="122" t="str">
        <f>CONCATENATE("Aluminium Conductor Steel Reinforced scrap, Lying at ",C6,". Quantity in MT - ",E6,)</f>
        <v>Aluminium Conductor Steel Reinforced scrap, Lying at Outlet store Shri Muktsar sahib. Quantity in MT - 3.799</v>
      </c>
    </row>
    <row r="7" spans="1:8" ht="17.25" customHeight="1">
      <c r="A7" s="308" t="s">
        <v>116</v>
      </c>
      <c r="B7" s="326"/>
      <c r="C7" s="307" t="s">
        <v>205</v>
      </c>
      <c r="D7" s="307"/>
      <c r="E7" s="231">
        <v>9.654</v>
      </c>
      <c r="F7" s="1">
        <v>8.871</v>
      </c>
      <c r="G7" s="1" t="s">
        <v>425</v>
      </c>
      <c r="H7" s="122" t="str">
        <f aca="true" t="shared" si="0" ref="H7:H24">CONCATENATE("Aluminium Conductor Steel Reinforced scrap, Lying at ",C7,". Quantity in MT - ",E7,)</f>
        <v>Aluminium Conductor Steel Reinforced scrap, Lying at CS Kotkapura  (.237 MT Intermingle). Quantity in MT - 9.654</v>
      </c>
    </row>
    <row r="8" spans="1:8" ht="17.25" customHeight="1">
      <c r="A8" s="308" t="s">
        <v>165</v>
      </c>
      <c r="B8" s="326"/>
      <c r="C8" s="303" t="s">
        <v>183</v>
      </c>
      <c r="D8" s="303"/>
      <c r="E8" s="51">
        <v>5.721</v>
      </c>
      <c r="H8" s="122" t="str">
        <f t="shared" si="0"/>
        <v>Aluminium Conductor Steel Reinforced scrap, Lying at Outlet store Malerkotla. Quantity in MT - 5.721</v>
      </c>
    </row>
    <row r="9" spans="1:8" ht="17.25" customHeight="1">
      <c r="A9" s="308" t="s">
        <v>182</v>
      </c>
      <c r="B9" s="326"/>
      <c r="C9" s="303" t="s">
        <v>236</v>
      </c>
      <c r="D9" s="303"/>
      <c r="E9" s="51">
        <v>3.911</v>
      </c>
      <c r="G9" s="130"/>
      <c r="H9" s="122" t="str">
        <f t="shared" si="0"/>
        <v>Aluminium Conductor Steel Reinforced scrap, Lying at Outlet store Nabha. Quantity in MT - 3.911</v>
      </c>
    </row>
    <row r="10" spans="1:8" ht="17.25" customHeight="1">
      <c r="A10" s="308" t="s">
        <v>166</v>
      </c>
      <c r="B10" s="326"/>
      <c r="C10" s="303" t="s">
        <v>237</v>
      </c>
      <c r="D10" s="303"/>
      <c r="E10" s="173">
        <v>2.4</v>
      </c>
      <c r="H10" s="122" t="str">
        <f t="shared" si="0"/>
        <v>Aluminium Conductor Steel Reinforced scrap, Lying at Outlet store Rajpura. Quantity in MT - 2.4</v>
      </c>
    </row>
    <row r="11" spans="1:8" ht="17.25" customHeight="1">
      <c r="A11" s="308" t="s">
        <v>184</v>
      </c>
      <c r="B11" s="326"/>
      <c r="C11" s="303" t="s">
        <v>190</v>
      </c>
      <c r="D11" s="303"/>
      <c r="E11" s="51">
        <v>7.78</v>
      </c>
      <c r="H11" s="122" t="str">
        <f t="shared" si="0"/>
        <v>Aluminium Conductor Steel Reinforced scrap, Lying at Outlet store Mansa. Quantity in MT - 7.78</v>
      </c>
    </row>
    <row r="12" spans="1:8" ht="17.25" customHeight="1">
      <c r="A12" s="308" t="s">
        <v>167</v>
      </c>
      <c r="B12" s="326"/>
      <c r="C12" s="303" t="s">
        <v>312</v>
      </c>
      <c r="D12" s="303"/>
      <c r="E12" s="51">
        <v>4.958</v>
      </c>
      <c r="H12" s="122" t="str">
        <f t="shared" si="0"/>
        <v>Aluminium Conductor Steel Reinforced scrap, Lying at CS Mohali (.314 MT intermingle). Quantity in MT - 4.958</v>
      </c>
    </row>
    <row r="13" spans="1:8" ht="17.25" customHeight="1">
      <c r="A13" s="308" t="s">
        <v>206</v>
      </c>
      <c r="B13" s="326"/>
      <c r="C13" s="303" t="s">
        <v>189</v>
      </c>
      <c r="D13" s="303"/>
      <c r="E13" s="51">
        <v>4.567</v>
      </c>
      <c r="H13" s="122" t="str">
        <f t="shared" si="0"/>
        <v>Aluminium Conductor Steel Reinforced scrap, Lying at Outlet store Ropar. Quantity in MT - 4.567</v>
      </c>
    </row>
    <row r="14" spans="1:8" ht="17.25" customHeight="1">
      <c r="A14" s="308" t="s">
        <v>187</v>
      </c>
      <c r="B14" s="326"/>
      <c r="C14" s="303" t="s">
        <v>272</v>
      </c>
      <c r="D14" s="303"/>
      <c r="E14" s="51">
        <v>0.857</v>
      </c>
      <c r="H14" s="122" t="str">
        <f t="shared" si="0"/>
        <v>Aluminium Conductor Steel Reinforced scrap, Lying at Outlet store Fazilka. Quantity in MT - 0.857</v>
      </c>
    </row>
    <row r="15" spans="1:8" ht="17.25" customHeight="1">
      <c r="A15" s="308" t="s">
        <v>188</v>
      </c>
      <c r="B15" s="326"/>
      <c r="C15" s="303" t="s">
        <v>397</v>
      </c>
      <c r="D15" s="303"/>
      <c r="E15" s="51">
        <v>3.765</v>
      </c>
      <c r="G15" s="169"/>
      <c r="H15" s="122" t="str">
        <f t="shared" si="0"/>
        <v>Aluminium Conductor Steel Reinforced scrap, Lying at CS Bathinda (.095 MT intermingle). Quantity in MT - 3.765</v>
      </c>
    </row>
    <row r="16" spans="1:8" ht="17.25" customHeight="1">
      <c r="A16" s="308" t="s">
        <v>208</v>
      </c>
      <c r="B16" s="326"/>
      <c r="C16" s="345" t="s">
        <v>325</v>
      </c>
      <c r="D16" s="345"/>
      <c r="E16" s="173">
        <v>1.814</v>
      </c>
      <c r="H16" s="122" t="str">
        <f t="shared" si="0"/>
        <v>Aluminium Conductor Steel Reinforced scrap, Lying at Outlet store Bhagta Bhai Ka. Quantity in MT - 1.814</v>
      </c>
    </row>
    <row r="17" spans="1:8" ht="17.25" customHeight="1">
      <c r="A17" s="308" t="s">
        <v>278</v>
      </c>
      <c r="B17" s="326"/>
      <c r="C17" s="303" t="s">
        <v>80</v>
      </c>
      <c r="D17" s="303"/>
      <c r="E17" s="51">
        <v>4.074</v>
      </c>
      <c r="H17" s="122" t="str">
        <f t="shared" si="0"/>
        <v>Aluminium Conductor Steel Reinforced scrap, Lying at CS Sangrur. Quantity in MT - 4.074</v>
      </c>
    </row>
    <row r="18" spans="1:8" ht="17.25" customHeight="1">
      <c r="A18" s="308" t="s">
        <v>385</v>
      </c>
      <c r="B18" s="326"/>
      <c r="C18" s="303" t="s">
        <v>185</v>
      </c>
      <c r="D18" s="303"/>
      <c r="E18" s="51">
        <v>1.593</v>
      </c>
      <c r="H18" s="122" t="str">
        <f t="shared" si="0"/>
        <v>Aluminium Conductor Steel Reinforced scrap, Lying at Outlet store Patran. Quantity in MT - 1.593</v>
      </c>
    </row>
    <row r="19" spans="1:8" ht="17.25" customHeight="1">
      <c r="A19" s="308" t="s">
        <v>386</v>
      </c>
      <c r="B19" s="326"/>
      <c r="C19" s="303" t="s">
        <v>186</v>
      </c>
      <c r="D19" s="303"/>
      <c r="E19" s="51">
        <v>1.55</v>
      </c>
      <c r="H19" s="122" t="str">
        <f t="shared" si="0"/>
        <v>Aluminium Conductor Steel Reinforced scrap, Lying at Outlet store Barnala. Quantity in MT - 1.55</v>
      </c>
    </row>
    <row r="20" spans="1:8" ht="17.25" customHeight="1">
      <c r="A20" s="308" t="s">
        <v>392</v>
      </c>
      <c r="B20" s="326"/>
      <c r="C20" s="308" t="s">
        <v>389</v>
      </c>
      <c r="D20" s="309"/>
      <c r="E20" s="51">
        <v>27.403</v>
      </c>
      <c r="H20" s="122" t="str">
        <f t="shared" si="0"/>
        <v>Aluminium Conductor Steel Reinforced scrap, Lying at S &amp; T Store Bathinda ( .465 MT intermingle ). Quantity in MT - 27.403</v>
      </c>
    </row>
    <row r="21" spans="1:8" ht="17.25" customHeight="1">
      <c r="A21" s="308" t="s">
        <v>393</v>
      </c>
      <c r="B21" s="326"/>
      <c r="C21" s="303" t="s">
        <v>96</v>
      </c>
      <c r="D21" s="308"/>
      <c r="E21" s="51">
        <v>1.875</v>
      </c>
      <c r="H21" s="122" t="str">
        <f t="shared" si="0"/>
        <v>Aluminium Conductor Steel Reinforced scrap, Lying at CS Malout. Quantity in MT - 1.875</v>
      </c>
    </row>
    <row r="22" spans="1:8" ht="17.25" customHeight="1">
      <c r="A22" s="308" t="s">
        <v>394</v>
      </c>
      <c r="B22" s="326"/>
      <c r="C22" s="303" t="s">
        <v>400</v>
      </c>
      <c r="D22" s="308"/>
      <c r="E22" s="51">
        <v>10.615</v>
      </c>
      <c r="F22" s="169"/>
      <c r="G22" s="1">
        <v>10.611</v>
      </c>
      <c r="H22" s="122" t="str">
        <f t="shared" si="0"/>
        <v>Aluminium Conductor Steel Reinforced scrap, Lying at CS Ferozepur( .004 MT intermingle ). Quantity in MT - 10.615</v>
      </c>
    </row>
    <row r="23" spans="1:8" ht="17.25" customHeight="1">
      <c r="A23" s="308" t="s">
        <v>412</v>
      </c>
      <c r="B23" s="326"/>
      <c r="C23" s="303" t="s">
        <v>413</v>
      </c>
      <c r="D23" s="308"/>
      <c r="E23" s="51">
        <v>4.645</v>
      </c>
      <c r="F23" s="169"/>
      <c r="H23" s="123" t="str">
        <f t="shared" si="0"/>
        <v>Aluminium Conductor Steel Reinforced scrap, Lying at CS Patiala (.025 MT intermingle ). Quantity in MT - 4.645</v>
      </c>
    </row>
    <row r="24" spans="1:8" ht="17.25" customHeight="1" thickBot="1">
      <c r="A24" s="308" t="s">
        <v>426</v>
      </c>
      <c r="B24" s="326"/>
      <c r="C24" s="307" t="s">
        <v>277</v>
      </c>
      <c r="D24" s="307"/>
      <c r="E24" s="231">
        <v>2.037</v>
      </c>
      <c r="F24" s="169" t="s">
        <v>387</v>
      </c>
      <c r="H24" s="123" t="str">
        <f t="shared" si="0"/>
        <v>Aluminium Conductor Steel Reinforced scrap, Lying at Outlet store Moga. Quantity in MT - 2.037</v>
      </c>
    </row>
    <row r="25" spans="1:5" ht="17.25" customHeight="1" thickBot="1">
      <c r="A25" s="360" t="s">
        <v>115</v>
      </c>
      <c r="B25" s="361"/>
      <c r="C25" s="359"/>
      <c r="D25" s="359"/>
      <c r="E25" s="174">
        <f>SUM(E6:E24)</f>
        <v>103.018</v>
      </c>
    </row>
    <row r="26" spans="1:5" ht="17.25" customHeight="1">
      <c r="A26" s="288"/>
      <c r="B26" s="288"/>
      <c r="C26" s="281"/>
      <c r="D26" s="281"/>
      <c r="E26" s="289"/>
    </row>
    <row r="27" spans="1:5" ht="17.25" customHeight="1">
      <c r="A27" s="398" t="s">
        <v>472</v>
      </c>
      <c r="B27" s="399"/>
      <c r="C27" s="399"/>
      <c r="D27" s="399"/>
      <c r="E27" s="79" t="s">
        <v>7</v>
      </c>
    </row>
    <row r="28" spans="1:6" ht="17.25" customHeight="1">
      <c r="A28" s="303" t="s">
        <v>473</v>
      </c>
      <c r="B28" s="303"/>
      <c r="C28" s="307" t="s">
        <v>277</v>
      </c>
      <c r="D28" s="307"/>
      <c r="E28" s="156">
        <v>0.271</v>
      </c>
      <c r="F28" s="1" t="s">
        <v>248</v>
      </c>
    </row>
    <row r="29" spans="1:5" ht="17.25" customHeight="1">
      <c r="A29" s="400" t="s">
        <v>115</v>
      </c>
      <c r="B29" s="400"/>
      <c r="C29" s="401"/>
      <c r="D29" s="402"/>
      <c r="E29" s="290">
        <f>E28</f>
        <v>0.271</v>
      </c>
    </row>
    <row r="30" spans="1:5" ht="17.25" customHeight="1">
      <c r="A30" s="171"/>
      <c r="B30" s="171"/>
      <c r="C30" s="172"/>
      <c r="D30" s="357"/>
      <c r="E30" s="358"/>
    </row>
    <row r="31" spans="1:5" ht="17.25" customHeight="1">
      <c r="A31" s="367" t="s">
        <v>12</v>
      </c>
      <c r="B31" s="368"/>
      <c r="C31" s="368"/>
      <c r="D31" s="368"/>
      <c r="E31" s="79" t="s">
        <v>7</v>
      </c>
    </row>
    <row r="32" spans="1:8" ht="17.25" customHeight="1">
      <c r="A32" s="308" t="s">
        <v>74</v>
      </c>
      <c r="B32" s="326"/>
      <c r="C32" s="303" t="s">
        <v>134</v>
      </c>
      <c r="D32" s="303"/>
      <c r="E32" s="90">
        <v>18.907</v>
      </c>
      <c r="H32" s="122" t="str">
        <f>CONCATENATE("Damaged Distribution Transformer's HT/LT Aluminium coils scrap with insulation, Lying at ",C32,". Quantity in MT - ",E32,)</f>
        <v>Damaged Distribution Transformer's HT/LT Aluminium coils scrap with insulation, Lying at TRY Bhagta Bhai Ka. Quantity in MT - 18.907</v>
      </c>
    </row>
    <row r="33" spans="1:8" ht="17.25" customHeight="1">
      <c r="A33" s="308" t="s">
        <v>124</v>
      </c>
      <c r="B33" s="326"/>
      <c r="C33" s="303" t="s">
        <v>28</v>
      </c>
      <c r="D33" s="303"/>
      <c r="E33" s="90">
        <v>8.316</v>
      </c>
      <c r="H33" s="122" t="str">
        <f aca="true" t="shared" si="1" ref="H33:H43">CONCATENATE("Damaged Distribution Transformer's HT/LT Aluminium coils scrap with insulation, Lying at ",C33,". Quantity in MT - ",E33,)</f>
        <v>Damaged Distribution Transformer's HT/LT Aluminium coils scrap with insulation, Lying at TRY Malerkotla. Quantity in MT - 8.316</v>
      </c>
    </row>
    <row r="34" spans="1:8" ht="17.25" customHeight="1">
      <c r="A34" s="308" t="s">
        <v>125</v>
      </c>
      <c r="B34" s="326"/>
      <c r="C34" s="303" t="s">
        <v>138</v>
      </c>
      <c r="D34" s="303"/>
      <c r="E34" s="90">
        <v>14.066</v>
      </c>
      <c r="H34" s="122" t="str">
        <f t="shared" si="1"/>
        <v>Damaged Distribution Transformer's HT/LT Aluminium coils scrap with insulation, Lying at TRY Patran. Quantity in MT - 14.066</v>
      </c>
    </row>
    <row r="35" spans="1:8" ht="17.25" customHeight="1">
      <c r="A35" s="308" t="s">
        <v>209</v>
      </c>
      <c r="B35" s="326"/>
      <c r="C35" s="303" t="s">
        <v>254</v>
      </c>
      <c r="D35" s="303"/>
      <c r="E35" s="90">
        <v>10.362</v>
      </c>
      <c r="H35" s="122" t="str">
        <f t="shared" si="1"/>
        <v>Damaged Distribution Transformer's HT/LT Aluminium coils scrap with insulation, Lying at TRY Kotkapura. Quantity in MT - 10.362</v>
      </c>
    </row>
    <row r="36" spans="1:8" ht="17.25" customHeight="1">
      <c r="A36" s="308" t="s">
        <v>162</v>
      </c>
      <c r="B36" s="326"/>
      <c r="C36" s="303" t="s">
        <v>254</v>
      </c>
      <c r="D36" s="303"/>
      <c r="E36" s="90">
        <v>10</v>
      </c>
      <c r="H36" s="122" t="str">
        <f t="shared" si="1"/>
        <v>Damaged Distribution Transformer's HT/LT Aluminium coils scrap with insulation, Lying at TRY Kotkapura. Quantity in MT - 10</v>
      </c>
    </row>
    <row r="37" spans="1:8" ht="17.25" customHeight="1">
      <c r="A37" s="308" t="s">
        <v>191</v>
      </c>
      <c r="B37" s="326"/>
      <c r="C37" s="303" t="s">
        <v>254</v>
      </c>
      <c r="D37" s="303"/>
      <c r="E37" s="90">
        <v>10</v>
      </c>
      <c r="H37" s="122" t="str">
        <f t="shared" si="1"/>
        <v>Damaged Distribution Transformer's HT/LT Aluminium coils scrap with insulation, Lying at TRY Kotkapura. Quantity in MT - 10</v>
      </c>
    </row>
    <row r="38" spans="1:8" ht="17.25" customHeight="1">
      <c r="A38" s="308" t="s">
        <v>255</v>
      </c>
      <c r="B38" s="326"/>
      <c r="C38" s="303" t="s">
        <v>168</v>
      </c>
      <c r="D38" s="303"/>
      <c r="E38" s="90">
        <v>14.532</v>
      </c>
      <c r="H38" s="122" t="str">
        <f t="shared" si="1"/>
        <v>Damaged Distribution Transformer's HT/LT Aluminium coils scrap with insulation, Lying at TRY Malout. Quantity in MT - 14.532</v>
      </c>
    </row>
    <row r="39" spans="1:8" ht="17.25" customHeight="1">
      <c r="A39" s="308" t="s">
        <v>169</v>
      </c>
      <c r="B39" s="326"/>
      <c r="C39" s="303" t="s">
        <v>170</v>
      </c>
      <c r="D39" s="303"/>
      <c r="E39" s="90">
        <v>28.947</v>
      </c>
      <c r="H39" s="122" t="str">
        <f t="shared" si="1"/>
        <v>Damaged Distribution Transformer's HT/LT Aluminium coils scrap with insulation, Lying at TRY Mansa. Quantity in MT - 28.947</v>
      </c>
    </row>
    <row r="40" spans="1:8" ht="17.25" customHeight="1">
      <c r="A40" s="308" t="s">
        <v>257</v>
      </c>
      <c r="B40" s="326"/>
      <c r="C40" s="303" t="s">
        <v>227</v>
      </c>
      <c r="D40" s="303"/>
      <c r="E40" s="90">
        <v>4.858</v>
      </c>
      <c r="H40" s="122" t="str">
        <f t="shared" si="1"/>
        <v>Damaged Distribution Transformer's HT/LT Aluminium coils scrap with insulation, Lying at TRY Moga. Quantity in MT - 4.858</v>
      </c>
    </row>
    <row r="41" spans="1:8" ht="17.25" customHeight="1">
      <c r="A41" s="308" t="s">
        <v>273</v>
      </c>
      <c r="B41" s="326"/>
      <c r="C41" s="303" t="s">
        <v>137</v>
      </c>
      <c r="D41" s="303"/>
      <c r="E41" s="90">
        <v>24.387</v>
      </c>
      <c r="H41" s="122" t="str">
        <f t="shared" si="1"/>
        <v>Damaged Distribution Transformer's HT/LT Aluminium coils scrap with insulation, Lying at TRY Sangrur. Quantity in MT - 24.387</v>
      </c>
    </row>
    <row r="42" spans="1:8" ht="17.25" customHeight="1">
      <c r="A42" s="308" t="s">
        <v>274</v>
      </c>
      <c r="B42" s="326"/>
      <c r="C42" s="303" t="s">
        <v>145</v>
      </c>
      <c r="D42" s="303"/>
      <c r="E42" s="90">
        <v>3.352</v>
      </c>
      <c r="H42" s="122" t="str">
        <f t="shared" si="1"/>
        <v>Damaged Distribution Transformer's HT/LT Aluminium coils scrap with insulation, Lying at TRY Ropar. Quantity in MT - 3.352</v>
      </c>
    </row>
    <row r="43" spans="1:8" ht="17.25" customHeight="1" thickBot="1">
      <c r="A43" s="308" t="s">
        <v>359</v>
      </c>
      <c r="B43" s="326"/>
      <c r="C43" s="303" t="s">
        <v>36</v>
      </c>
      <c r="D43" s="303"/>
      <c r="E43" s="90">
        <v>6.977</v>
      </c>
      <c r="H43" s="122" t="str">
        <f t="shared" si="1"/>
        <v>Damaged Distribution Transformer's HT/LT Aluminium coils scrap with insulation, Lying at TRY Bathinda. Quantity in MT - 6.977</v>
      </c>
    </row>
    <row r="44" spans="1:5" ht="17.25" customHeight="1" thickBot="1">
      <c r="A44" s="365" t="s">
        <v>115</v>
      </c>
      <c r="B44" s="366"/>
      <c r="C44" s="350"/>
      <c r="D44" s="351"/>
      <c r="E44" s="174">
        <f>SUM(E32:E43)</f>
        <v>154.704</v>
      </c>
    </row>
    <row r="45" spans="1:8" ht="17.25" customHeight="1">
      <c r="A45" s="393"/>
      <c r="B45" s="393"/>
      <c r="C45" s="393"/>
      <c r="D45" s="393"/>
      <c r="E45" s="394"/>
      <c r="H45" s="149"/>
    </row>
    <row r="46" spans="1:6" ht="17.25" customHeight="1">
      <c r="A46" s="348" t="s">
        <v>109</v>
      </c>
      <c r="B46" s="348"/>
      <c r="C46" s="348"/>
      <c r="D46" s="348"/>
      <c r="E46" s="349"/>
      <c r="F46" s="1">
        <f>B64+B78+B99+B111+B130+B144+B161+B176+B189+B204+B217+B225+B239+B252+B272+B285+B299+B319</f>
        <v>1032</v>
      </c>
    </row>
    <row r="47" spans="1:5" ht="17.25" customHeight="1">
      <c r="A47" s="355" t="s">
        <v>505</v>
      </c>
      <c r="B47" s="356"/>
      <c r="C47" s="356"/>
      <c r="D47" s="356"/>
      <c r="E47" s="356"/>
    </row>
    <row r="48" spans="1:5" ht="17.25" customHeight="1">
      <c r="A48" s="115"/>
      <c r="B48" s="116"/>
      <c r="C48" s="116"/>
      <c r="D48" s="116"/>
      <c r="E48" s="116"/>
    </row>
    <row r="49" spans="1:5" ht="29.25" customHeight="1">
      <c r="A49" s="308" t="s">
        <v>249</v>
      </c>
      <c r="B49" s="309"/>
      <c r="C49" s="309"/>
      <c r="D49" s="309"/>
      <c r="E49" s="326"/>
    </row>
    <row r="50" spans="1:5" ht="24.75" customHeight="1">
      <c r="A50" s="27" t="s">
        <v>217</v>
      </c>
      <c r="B50" s="27" t="s">
        <v>218</v>
      </c>
      <c r="C50" s="27" t="s">
        <v>219</v>
      </c>
      <c r="D50" s="27" t="s">
        <v>220</v>
      </c>
      <c r="E50" s="110" t="s">
        <v>221</v>
      </c>
    </row>
    <row r="51" spans="1:6" ht="17.25" customHeight="1">
      <c r="A51" s="352" t="s">
        <v>222</v>
      </c>
      <c r="B51" s="353"/>
      <c r="C51" s="354"/>
      <c r="D51" s="88"/>
      <c r="E51" s="104"/>
      <c r="F51" s="1">
        <f>B52+B53+B54+B55+B56+B58+B59+B60+B61+B62</f>
        <v>249</v>
      </c>
    </row>
    <row r="52" spans="1:5" ht="17.25" customHeight="1">
      <c r="A52" s="151">
        <v>90</v>
      </c>
      <c r="B52" s="152">
        <v>27</v>
      </c>
      <c r="C52" s="152" t="s">
        <v>223</v>
      </c>
      <c r="D52" s="151" t="s">
        <v>224</v>
      </c>
      <c r="E52" s="152">
        <v>1301</v>
      </c>
    </row>
    <row r="53" spans="1:5" ht="17.25" customHeight="1">
      <c r="A53" s="151">
        <v>91</v>
      </c>
      <c r="B53" s="152">
        <v>25</v>
      </c>
      <c r="C53" s="152" t="s">
        <v>223</v>
      </c>
      <c r="D53" s="151" t="s">
        <v>225</v>
      </c>
      <c r="E53" s="152">
        <v>1214</v>
      </c>
    </row>
    <row r="54" spans="1:5" ht="17.25" customHeight="1">
      <c r="A54" s="151">
        <v>92</v>
      </c>
      <c r="B54" s="152">
        <v>14</v>
      </c>
      <c r="C54" s="152" t="s">
        <v>223</v>
      </c>
      <c r="D54" s="151" t="s">
        <v>226</v>
      </c>
      <c r="E54" s="152">
        <v>678</v>
      </c>
    </row>
    <row r="55" spans="1:5" ht="17.25" customHeight="1">
      <c r="A55" s="151">
        <v>93</v>
      </c>
      <c r="B55" s="152">
        <v>25</v>
      </c>
      <c r="C55" s="152" t="s">
        <v>223</v>
      </c>
      <c r="D55" s="151" t="s">
        <v>231</v>
      </c>
      <c r="E55" s="152">
        <v>1201</v>
      </c>
    </row>
    <row r="56" spans="1:5" ht="17.25" customHeight="1">
      <c r="A56" s="151">
        <v>94</v>
      </c>
      <c r="B56" s="152">
        <v>18</v>
      </c>
      <c r="C56" s="152" t="s">
        <v>223</v>
      </c>
      <c r="D56" s="151" t="s">
        <v>232</v>
      </c>
      <c r="E56" s="152">
        <v>835</v>
      </c>
    </row>
    <row r="57" spans="1:5" ht="91.5" customHeight="1">
      <c r="A57" s="151">
        <v>95</v>
      </c>
      <c r="B57" s="152">
        <v>20</v>
      </c>
      <c r="C57" s="179" t="s">
        <v>247</v>
      </c>
      <c r="D57" s="163" t="s">
        <v>264</v>
      </c>
      <c r="E57" s="162">
        <v>4276</v>
      </c>
    </row>
    <row r="58" spans="1:5" ht="17.25" customHeight="1">
      <c r="A58" s="151">
        <v>96</v>
      </c>
      <c r="B58" s="152">
        <v>27</v>
      </c>
      <c r="C58" s="153" t="s">
        <v>223</v>
      </c>
      <c r="D58" s="151" t="s">
        <v>265</v>
      </c>
      <c r="E58" s="162">
        <v>1303</v>
      </c>
    </row>
    <row r="59" spans="1:5" ht="17.25" customHeight="1">
      <c r="A59" s="151">
        <v>97</v>
      </c>
      <c r="B59" s="152">
        <v>26</v>
      </c>
      <c r="C59" s="153" t="s">
        <v>223</v>
      </c>
      <c r="D59" s="151" t="s">
        <v>266</v>
      </c>
      <c r="E59" s="162">
        <v>1209</v>
      </c>
    </row>
    <row r="60" spans="1:5" ht="17.25" customHeight="1">
      <c r="A60" s="151">
        <v>98</v>
      </c>
      <c r="B60" s="152">
        <v>27</v>
      </c>
      <c r="C60" s="153" t="s">
        <v>230</v>
      </c>
      <c r="D60" s="163" t="s">
        <v>265</v>
      </c>
      <c r="E60" s="152">
        <v>1286</v>
      </c>
    </row>
    <row r="61" spans="1:5" ht="17.25" customHeight="1">
      <c r="A61" s="151">
        <v>99</v>
      </c>
      <c r="B61" s="152">
        <v>30</v>
      </c>
      <c r="C61" s="153" t="s">
        <v>230</v>
      </c>
      <c r="D61" s="163" t="s">
        <v>267</v>
      </c>
      <c r="E61" s="152">
        <v>1365</v>
      </c>
    </row>
    <row r="62" spans="1:5" ht="17.25" customHeight="1">
      <c r="A62" s="151">
        <v>100</v>
      </c>
      <c r="B62" s="152">
        <v>30</v>
      </c>
      <c r="C62" s="153" t="s">
        <v>230</v>
      </c>
      <c r="D62" s="163" t="s">
        <v>267</v>
      </c>
      <c r="E62" s="152">
        <v>1374</v>
      </c>
    </row>
    <row r="63" spans="1:5" ht="17.25" customHeight="1">
      <c r="A63" s="111"/>
      <c r="B63" s="112">
        <f>SUM(B52:B62)</f>
        <v>269</v>
      </c>
      <c r="C63" s="112">
        <f>B63-20</f>
        <v>249</v>
      </c>
      <c r="D63" s="112"/>
      <c r="E63" s="112">
        <f>SUM(E52:E62)</f>
        <v>16042</v>
      </c>
    </row>
    <row r="64" spans="1:5" ht="17.25" customHeight="1">
      <c r="A64" s="88" t="s">
        <v>14</v>
      </c>
      <c r="B64" s="112">
        <f>B63</f>
        <v>269</v>
      </c>
      <c r="C64" s="112"/>
      <c r="D64" s="112"/>
      <c r="E64" s="112">
        <f>E63</f>
        <v>16042</v>
      </c>
    </row>
    <row r="65" spans="1:5" ht="17.25" customHeight="1">
      <c r="A65" s="104"/>
      <c r="B65" s="113"/>
      <c r="C65" s="113"/>
      <c r="D65" s="113"/>
      <c r="E65" s="113"/>
    </row>
    <row r="66" spans="1:5" ht="27.75" customHeight="1">
      <c r="A66" s="308" t="s">
        <v>328</v>
      </c>
      <c r="B66" s="309"/>
      <c r="C66" s="309"/>
      <c r="D66" s="309"/>
      <c r="E66" s="309"/>
    </row>
    <row r="67" spans="1:5" ht="24.75" customHeight="1">
      <c r="A67" s="27" t="s">
        <v>217</v>
      </c>
      <c r="B67" s="27" t="s">
        <v>218</v>
      </c>
      <c r="C67" s="27" t="s">
        <v>219</v>
      </c>
      <c r="D67" s="27" t="s">
        <v>220</v>
      </c>
      <c r="E67" s="110" t="s">
        <v>221</v>
      </c>
    </row>
    <row r="68" spans="1:5" ht="17.25" customHeight="1">
      <c r="A68" s="352" t="s">
        <v>228</v>
      </c>
      <c r="B68" s="353"/>
      <c r="C68" s="354"/>
      <c r="D68" s="27"/>
      <c r="E68" s="110"/>
    </row>
    <row r="69" spans="1:5" ht="17.25" customHeight="1">
      <c r="A69" s="148" t="s">
        <v>292</v>
      </c>
      <c r="B69" s="143">
        <v>7</v>
      </c>
      <c r="C69" s="143" t="s">
        <v>233</v>
      </c>
      <c r="D69" s="143" t="s">
        <v>293</v>
      </c>
      <c r="E69" s="143">
        <v>780</v>
      </c>
    </row>
    <row r="70" spans="1:5" ht="17.25" customHeight="1">
      <c r="A70" s="150"/>
      <c r="B70" s="114">
        <f>SUM(B69:B69)</f>
        <v>7</v>
      </c>
      <c r="C70" s="114"/>
      <c r="D70" s="114"/>
      <c r="E70" s="114">
        <f>SUM(E69:E69)</f>
        <v>780</v>
      </c>
    </row>
    <row r="71" spans="1:5" ht="17.25" customHeight="1">
      <c r="A71" s="352" t="s">
        <v>222</v>
      </c>
      <c r="B71" s="353"/>
      <c r="C71" s="354"/>
      <c r="D71" s="38"/>
      <c r="E71" s="38"/>
    </row>
    <row r="72" spans="1:5" ht="17.25" customHeight="1">
      <c r="A72" s="148" t="s">
        <v>294</v>
      </c>
      <c r="B72" s="143">
        <v>4</v>
      </c>
      <c r="C72" s="147" t="s">
        <v>238</v>
      </c>
      <c r="D72" s="143" t="s">
        <v>295</v>
      </c>
      <c r="E72" s="143">
        <v>466</v>
      </c>
    </row>
    <row r="73" spans="1:5" ht="17.25" customHeight="1">
      <c r="A73" s="148" t="s">
        <v>294</v>
      </c>
      <c r="B73" s="143">
        <v>1</v>
      </c>
      <c r="C73" s="147" t="s">
        <v>247</v>
      </c>
      <c r="D73" s="143" t="s">
        <v>271</v>
      </c>
      <c r="E73" s="143">
        <v>220</v>
      </c>
    </row>
    <row r="74" spans="1:5" ht="17.25" customHeight="1">
      <c r="A74" s="148" t="s">
        <v>294</v>
      </c>
      <c r="B74" s="143">
        <v>1</v>
      </c>
      <c r="C74" s="147" t="s">
        <v>251</v>
      </c>
      <c r="D74" s="143" t="s">
        <v>296</v>
      </c>
      <c r="E74" s="143">
        <v>295</v>
      </c>
    </row>
    <row r="75" spans="1:5" ht="17.25" customHeight="1">
      <c r="A75" s="148" t="s">
        <v>297</v>
      </c>
      <c r="B75" s="143">
        <v>1</v>
      </c>
      <c r="C75" s="143" t="s">
        <v>233</v>
      </c>
      <c r="D75" s="45" t="s">
        <v>252</v>
      </c>
      <c r="E75" s="143">
        <v>87</v>
      </c>
    </row>
    <row r="76" spans="1:5" ht="17.25" customHeight="1">
      <c r="A76" s="148" t="s">
        <v>298</v>
      </c>
      <c r="B76" s="143">
        <v>1</v>
      </c>
      <c r="C76" s="147" t="s">
        <v>238</v>
      </c>
      <c r="D76" s="45" t="s">
        <v>252</v>
      </c>
      <c r="E76" s="143">
        <v>115</v>
      </c>
    </row>
    <row r="77" spans="1:5" ht="17.25" customHeight="1">
      <c r="A77" s="27"/>
      <c r="B77" s="88">
        <f>SUM(B72:B76)</f>
        <v>8</v>
      </c>
      <c r="C77" s="88"/>
      <c r="D77" s="88"/>
      <c r="E77" s="88">
        <f>SUM(E72:E76)</f>
        <v>1183</v>
      </c>
    </row>
    <row r="78" spans="1:5" ht="17.25" customHeight="1">
      <c r="A78" s="88" t="s">
        <v>14</v>
      </c>
      <c r="B78" s="112">
        <f>B70+B77</f>
        <v>15</v>
      </c>
      <c r="C78" s="112"/>
      <c r="D78" s="112"/>
      <c r="E78" s="112">
        <f>E70+E77</f>
        <v>1963</v>
      </c>
    </row>
    <row r="79" spans="1:5" ht="17.25" customHeight="1">
      <c r="A79" s="104"/>
      <c r="B79" s="113"/>
      <c r="C79" s="119"/>
      <c r="D79" s="112"/>
      <c r="E79" s="112"/>
    </row>
    <row r="80" spans="1:5" ht="27" customHeight="1">
      <c r="A80" s="308" t="s">
        <v>329</v>
      </c>
      <c r="B80" s="309"/>
      <c r="C80" s="309"/>
      <c r="D80" s="309"/>
      <c r="E80" s="309"/>
    </row>
    <row r="81" spans="1:5" ht="21" customHeight="1">
      <c r="A81" s="27" t="s">
        <v>217</v>
      </c>
      <c r="B81" s="27" t="s">
        <v>218</v>
      </c>
      <c r="C81" s="27" t="s">
        <v>219</v>
      </c>
      <c r="D81" s="27" t="s">
        <v>220</v>
      </c>
      <c r="E81" s="110" t="s">
        <v>221</v>
      </c>
    </row>
    <row r="82" spans="1:5" ht="17.25" customHeight="1">
      <c r="A82" s="352" t="s">
        <v>228</v>
      </c>
      <c r="B82" s="353"/>
      <c r="C82" s="354"/>
      <c r="D82" s="27"/>
      <c r="E82" s="110"/>
    </row>
    <row r="83" spans="1:5" ht="17.25" customHeight="1">
      <c r="A83" s="85" t="s">
        <v>506</v>
      </c>
      <c r="B83" s="118">
        <v>11</v>
      </c>
      <c r="C83" s="118" t="s">
        <v>229</v>
      </c>
      <c r="D83" s="118" t="s">
        <v>299</v>
      </c>
      <c r="E83" s="145">
        <v>654</v>
      </c>
    </row>
    <row r="84" spans="1:5" ht="17.25" customHeight="1">
      <c r="A84" s="45" t="s">
        <v>507</v>
      </c>
      <c r="B84" s="144">
        <v>11</v>
      </c>
      <c r="C84" s="144" t="s">
        <v>230</v>
      </c>
      <c r="D84" s="144" t="s">
        <v>300</v>
      </c>
      <c r="E84" s="144">
        <v>849</v>
      </c>
    </row>
    <row r="85" spans="1:5" ht="17.25" customHeight="1">
      <c r="A85" s="45" t="s">
        <v>508</v>
      </c>
      <c r="B85" s="144">
        <v>2</v>
      </c>
      <c r="C85" s="144" t="s">
        <v>233</v>
      </c>
      <c r="D85" s="144" t="s">
        <v>301</v>
      </c>
      <c r="E85" s="144">
        <v>202</v>
      </c>
    </row>
    <row r="86" spans="1:5" ht="17.25" customHeight="1">
      <c r="A86" s="150"/>
      <c r="B86" s="114">
        <f>SUM(B83:B85)</f>
        <v>24</v>
      </c>
      <c r="C86" s="114"/>
      <c r="D86" s="114"/>
      <c r="E86" s="114">
        <f>SUM(E83:E85)</f>
        <v>1705</v>
      </c>
    </row>
    <row r="87" spans="1:5" ht="17.25" customHeight="1">
      <c r="A87" s="352" t="s">
        <v>222</v>
      </c>
      <c r="B87" s="353"/>
      <c r="C87" s="354"/>
      <c r="D87" s="38"/>
      <c r="E87" s="38"/>
    </row>
    <row r="88" spans="1:5" ht="17.25" customHeight="1">
      <c r="A88" s="85" t="s">
        <v>509</v>
      </c>
      <c r="B88" s="118">
        <v>9</v>
      </c>
      <c r="C88" s="85" t="s">
        <v>229</v>
      </c>
      <c r="D88" s="118" t="s">
        <v>302</v>
      </c>
      <c r="E88" s="85">
        <v>460</v>
      </c>
    </row>
    <row r="89" spans="1:5" ht="17.25" customHeight="1">
      <c r="A89" s="45" t="s">
        <v>510</v>
      </c>
      <c r="B89" s="45">
        <v>2</v>
      </c>
      <c r="C89" s="176" t="s">
        <v>238</v>
      </c>
      <c r="D89" s="45" t="s">
        <v>303</v>
      </c>
      <c r="E89" s="45">
        <v>243</v>
      </c>
    </row>
    <row r="90" spans="1:5" ht="17.25" customHeight="1">
      <c r="A90" s="45" t="s">
        <v>511</v>
      </c>
      <c r="B90" s="45">
        <v>3</v>
      </c>
      <c r="C90" s="176" t="s">
        <v>247</v>
      </c>
      <c r="D90" s="45" t="s">
        <v>304</v>
      </c>
      <c r="E90" s="45">
        <v>540</v>
      </c>
    </row>
    <row r="91" spans="1:5" ht="30" customHeight="1">
      <c r="A91" s="45" t="s">
        <v>512</v>
      </c>
      <c r="B91" s="45">
        <v>1</v>
      </c>
      <c r="C91" s="176" t="s">
        <v>307</v>
      </c>
      <c r="D91" s="45" t="s">
        <v>308</v>
      </c>
      <c r="E91" s="45">
        <v>210</v>
      </c>
    </row>
    <row r="92" spans="1:5" ht="17.25" customHeight="1">
      <c r="A92" s="45" t="s">
        <v>513</v>
      </c>
      <c r="B92" s="45">
        <v>1</v>
      </c>
      <c r="C92" s="176" t="s">
        <v>251</v>
      </c>
      <c r="D92" s="45" t="s">
        <v>309</v>
      </c>
      <c r="E92" s="45">
        <v>280</v>
      </c>
    </row>
    <row r="93" spans="1:5" ht="17.25" customHeight="1">
      <c r="A93" s="45" t="s">
        <v>514</v>
      </c>
      <c r="B93" s="45">
        <v>1</v>
      </c>
      <c r="C93" s="176" t="s">
        <v>270</v>
      </c>
      <c r="D93" s="45" t="s">
        <v>305</v>
      </c>
      <c r="E93" s="45">
        <v>410</v>
      </c>
    </row>
    <row r="94" spans="1:5" ht="17.25" customHeight="1">
      <c r="A94" s="177" t="s">
        <v>515</v>
      </c>
      <c r="B94" s="45">
        <v>1</v>
      </c>
      <c r="C94" s="45" t="s">
        <v>230</v>
      </c>
      <c r="D94" s="45" t="s">
        <v>310</v>
      </c>
      <c r="E94" s="45">
        <v>58</v>
      </c>
    </row>
    <row r="95" spans="1:5" ht="17.25" customHeight="1">
      <c r="A95" s="161"/>
      <c r="B95" s="160">
        <f>SUM(B88:B94)</f>
        <v>18</v>
      </c>
      <c r="C95" s="160"/>
      <c r="D95" s="160"/>
      <c r="E95" s="160">
        <f>SUM(E88:E94)</f>
        <v>2201</v>
      </c>
    </row>
    <row r="96" spans="1:5" ht="17.25" customHeight="1">
      <c r="A96" s="352" t="s">
        <v>234</v>
      </c>
      <c r="B96" s="353"/>
      <c r="C96" s="354"/>
      <c r="D96" s="88"/>
      <c r="E96" s="88"/>
    </row>
    <row r="97" spans="1:5" ht="17.25" customHeight="1">
      <c r="A97" s="45" t="s">
        <v>516</v>
      </c>
      <c r="B97" s="73">
        <v>2</v>
      </c>
      <c r="C97" s="73" t="s">
        <v>230</v>
      </c>
      <c r="D97" s="73" t="s">
        <v>306</v>
      </c>
      <c r="E97" s="45">
        <v>110</v>
      </c>
    </row>
    <row r="98" spans="1:5" ht="17.25" customHeight="1">
      <c r="A98" s="27"/>
      <c r="B98" s="88">
        <f>B97</f>
        <v>2</v>
      </c>
      <c r="C98" s="88"/>
      <c r="D98" s="88"/>
      <c r="E98" s="88">
        <f>E97</f>
        <v>110</v>
      </c>
    </row>
    <row r="99" spans="1:5" ht="17.25" customHeight="1">
      <c r="A99" s="88" t="s">
        <v>14</v>
      </c>
      <c r="B99" s="112">
        <f>B86+B95+B98</f>
        <v>44</v>
      </c>
      <c r="C99" s="112"/>
      <c r="D99" s="112"/>
      <c r="E99" s="112">
        <f>E86+E95+E98</f>
        <v>4016</v>
      </c>
    </row>
    <row r="100" spans="1:5" ht="17.25" customHeight="1">
      <c r="A100" s="104"/>
      <c r="B100" s="113"/>
      <c r="C100" s="119"/>
      <c r="D100" s="112"/>
      <c r="E100" s="112"/>
    </row>
    <row r="101" spans="1:5" ht="33.75" customHeight="1">
      <c r="A101" s="308" t="s">
        <v>330</v>
      </c>
      <c r="B101" s="309"/>
      <c r="C101" s="309"/>
      <c r="D101" s="309"/>
      <c r="E101" s="309"/>
    </row>
    <row r="102" spans="1:5" ht="23.25" customHeight="1">
      <c r="A102" s="27" t="s">
        <v>217</v>
      </c>
      <c r="B102" s="27" t="s">
        <v>218</v>
      </c>
      <c r="C102" s="27" t="s">
        <v>219</v>
      </c>
      <c r="D102" s="27" t="s">
        <v>220</v>
      </c>
      <c r="E102" s="110" t="s">
        <v>221</v>
      </c>
    </row>
    <row r="103" spans="1:5" ht="17.25" customHeight="1">
      <c r="A103" s="352" t="s">
        <v>228</v>
      </c>
      <c r="B103" s="353"/>
      <c r="C103" s="354"/>
      <c r="D103" s="27"/>
      <c r="E103" s="110"/>
    </row>
    <row r="104" spans="1:5" ht="17.25" customHeight="1">
      <c r="A104" s="50">
        <v>756</v>
      </c>
      <c r="B104" s="50">
        <v>3</v>
      </c>
      <c r="C104" s="50" t="s">
        <v>230</v>
      </c>
      <c r="D104" s="50" t="s">
        <v>313</v>
      </c>
      <c r="E104" s="50">
        <v>226</v>
      </c>
    </row>
    <row r="105" spans="1:5" ht="17.25" customHeight="1">
      <c r="A105" s="50">
        <v>757</v>
      </c>
      <c r="B105" s="50">
        <v>10</v>
      </c>
      <c r="C105" s="50" t="s">
        <v>233</v>
      </c>
      <c r="D105" s="50" t="s">
        <v>314</v>
      </c>
      <c r="E105" s="50">
        <v>1056</v>
      </c>
    </row>
    <row r="106" spans="1:5" ht="17.25" customHeight="1">
      <c r="A106" s="150"/>
      <c r="B106" s="114">
        <f>SUM(B104:B105)</f>
        <v>13</v>
      </c>
      <c r="C106" s="114"/>
      <c r="D106" s="114"/>
      <c r="E106" s="114">
        <f>SUM(E104:E105)</f>
        <v>1282</v>
      </c>
    </row>
    <row r="107" spans="1:5" ht="17.25" customHeight="1">
      <c r="A107" s="352" t="s">
        <v>222</v>
      </c>
      <c r="B107" s="353"/>
      <c r="C107" s="354"/>
      <c r="D107" s="38"/>
      <c r="E107" s="38"/>
    </row>
    <row r="108" spans="1:5" ht="17.25" customHeight="1">
      <c r="A108" s="50">
        <v>758</v>
      </c>
      <c r="B108" s="50">
        <v>8</v>
      </c>
      <c r="C108" s="50" t="s">
        <v>230</v>
      </c>
      <c r="D108" s="50" t="s">
        <v>315</v>
      </c>
      <c r="E108" s="50">
        <v>586</v>
      </c>
    </row>
    <row r="109" spans="1:5" ht="17.25" customHeight="1">
      <c r="A109" s="50">
        <v>759</v>
      </c>
      <c r="B109" s="50">
        <v>1</v>
      </c>
      <c r="C109" s="50" t="s">
        <v>233</v>
      </c>
      <c r="D109" s="50" t="s">
        <v>244</v>
      </c>
      <c r="E109" s="50">
        <v>82</v>
      </c>
    </row>
    <row r="110" spans="1:5" ht="17.25" customHeight="1">
      <c r="A110" s="27"/>
      <c r="B110" s="88">
        <f>SUM(B108:B109)</f>
        <v>9</v>
      </c>
      <c r="C110" s="88"/>
      <c r="D110" s="88"/>
      <c r="E110" s="88">
        <f>SUM(E108:E109)</f>
        <v>668</v>
      </c>
    </row>
    <row r="111" spans="1:5" ht="17.25" customHeight="1">
      <c r="A111" s="88" t="s">
        <v>14</v>
      </c>
      <c r="B111" s="112">
        <f>B106+B110</f>
        <v>22</v>
      </c>
      <c r="C111" s="112"/>
      <c r="D111" s="112"/>
      <c r="E111" s="112">
        <f>E106+E110</f>
        <v>1950</v>
      </c>
    </row>
    <row r="112" spans="1:5" ht="17.25" customHeight="1">
      <c r="A112" s="104"/>
      <c r="B112" s="113"/>
      <c r="C112" s="119"/>
      <c r="D112" s="112"/>
      <c r="E112" s="112"/>
    </row>
    <row r="113" spans="1:5" ht="27" customHeight="1">
      <c r="A113" s="308" t="s">
        <v>268</v>
      </c>
      <c r="B113" s="309"/>
      <c r="C113" s="309"/>
      <c r="D113" s="309"/>
      <c r="E113" s="309"/>
    </row>
    <row r="114" spans="1:5" ht="24" customHeight="1">
      <c r="A114" s="27" t="s">
        <v>217</v>
      </c>
      <c r="B114" s="27" t="s">
        <v>218</v>
      </c>
      <c r="C114" s="27" t="s">
        <v>219</v>
      </c>
      <c r="D114" s="27" t="s">
        <v>220</v>
      </c>
      <c r="E114" s="110" t="s">
        <v>221</v>
      </c>
    </row>
    <row r="115" spans="1:5" ht="17.25" customHeight="1">
      <c r="A115" s="352" t="s">
        <v>228</v>
      </c>
      <c r="B115" s="353"/>
      <c r="C115" s="354"/>
      <c r="D115" s="27"/>
      <c r="E115" s="110"/>
    </row>
    <row r="116" spans="1:5" ht="32.25" customHeight="1">
      <c r="A116" s="85">
        <v>1397</v>
      </c>
      <c r="B116" s="118">
        <v>25</v>
      </c>
      <c r="C116" s="118" t="s">
        <v>229</v>
      </c>
      <c r="D116" s="85" t="s">
        <v>316</v>
      </c>
      <c r="E116" s="85">
        <v>1495</v>
      </c>
    </row>
    <row r="117" spans="1:5" ht="32.25" customHeight="1">
      <c r="A117" s="85">
        <v>1398</v>
      </c>
      <c r="B117" s="118">
        <v>25</v>
      </c>
      <c r="C117" s="118" t="s">
        <v>229</v>
      </c>
      <c r="D117" s="85" t="s">
        <v>317</v>
      </c>
      <c r="E117" s="45">
        <v>1504</v>
      </c>
    </row>
    <row r="118" spans="1:5" ht="32.25" customHeight="1">
      <c r="A118" s="85">
        <v>1399</v>
      </c>
      <c r="B118" s="118">
        <v>25</v>
      </c>
      <c r="C118" s="118" t="s">
        <v>229</v>
      </c>
      <c r="D118" s="45" t="s">
        <v>324</v>
      </c>
      <c r="E118" s="45">
        <v>1509</v>
      </c>
    </row>
    <row r="119" spans="1:5" ht="32.25" customHeight="1">
      <c r="A119" s="85">
        <v>1400</v>
      </c>
      <c r="B119" s="118">
        <v>20</v>
      </c>
      <c r="C119" s="118" t="s">
        <v>229</v>
      </c>
      <c r="D119" s="45" t="s">
        <v>318</v>
      </c>
      <c r="E119" s="45">
        <v>1223</v>
      </c>
    </row>
    <row r="120" spans="1:5" ht="17.25" customHeight="1">
      <c r="A120" s="150"/>
      <c r="B120" s="114">
        <f>SUM(B116:B119)</f>
        <v>95</v>
      </c>
      <c r="C120" s="114"/>
      <c r="D120" s="114"/>
      <c r="E120" s="114">
        <f>SUM(E116:E119)</f>
        <v>5731</v>
      </c>
    </row>
    <row r="121" spans="1:5" ht="17.25" customHeight="1">
      <c r="A121" s="352" t="s">
        <v>222</v>
      </c>
      <c r="B121" s="353"/>
      <c r="C121" s="354"/>
      <c r="D121" s="38"/>
      <c r="E121" s="38"/>
    </row>
    <row r="122" spans="1:5" ht="30" customHeight="1">
      <c r="A122" s="85">
        <v>1392</v>
      </c>
      <c r="B122" s="118">
        <v>25</v>
      </c>
      <c r="C122" s="118" t="s">
        <v>229</v>
      </c>
      <c r="D122" s="85" t="s">
        <v>319</v>
      </c>
      <c r="E122" s="73">
        <v>1405</v>
      </c>
    </row>
    <row r="123" spans="1:5" ht="17.25" customHeight="1">
      <c r="A123" s="85">
        <v>1393</v>
      </c>
      <c r="B123" s="118">
        <v>14</v>
      </c>
      <c r="C123" s="118" t="s">
        <v>229</v>
      </c>
      <c r="D123" s="118" t="s">
        <v>320</v>
      </c>
      <c r="E123" s="85">
        <v>790</v>
      </c>
    </row>
    <row r="124" spans="1:5" ht="17.25" customHeight="1">
      <c r="A124" s="85">
        <v>1394</v>
      </c>
      <c r="B124" s="118">
        <v>2</v>
      </c>
      <c r="C124" s="118" t="s">
        <v>230</v>
      </c>
      <c r="D124" s="118" t="s">
        <v>321</v>
      </c>
      <c r="E124" s="45">
        <v>124</v>
      </c>
    </row>
    <row r="125" spans="1:5" ht="17.25" customHeight="1">
      <c r="A125" s="85">
        <v>1396</v>
      </c>
      <c r="B125" s="118">
        <v>4</v>
      </c>
      <c r="C125" s="118" t="s">
        <v>233</v>
      </c>
      <c r="D125" s="118" t="s">
        <v>323</v>
      </c>
      <c r="E125" s="45">
        <v>309</v>
      </c>
    </row>
    <row r="126" spans="1:5" ht="17.25" customHeight="1">
      <c r="A126" s="27"/>
      <c r="B126" s="88">
        <f>SUM(B122:B125)</f>
        <v>45</v>
      </c>
      <c r="C126" s="88"/>
      <c r="D126" s="88"/>
      <c r="E126" s="88">
        <f>SUM(E122:E125)</f>
        <v>2628</v>
      </c>
    </row>
    <row r="127" spans="1:5" ht="17.25" customHeight="1">
      <c r="A127" s="352" t="s">
        <v>235</v>
      </c>
      <c r="B127" s="353"/>
      <c r="C127" s="354"/>
      <c r="D127" s="88"/>
      <c r="E127" s="88"/>
    </row>
    <row r="128" spans="1:5" ht="17.25" customHeight="1">
      <c r="A128" s="85">
        <v>1395</v>
      </c>
      <c r="B128" s="118">
        <v>2</v>
      </c>
      <c r="C128" s="118" t="s">
        <v>230</v>
      </c>
      <c r="D128" s="118" t="s">
        <v>322</v>
      </c>
      <c r="E128" s="45">
        <v>144</v>
      </c>
    </row>
    <row r="129" spans="1:5" ht="17.25" customHeight="1">
      <c r="A129" s="27"/>
      <c r="B129" s="88">
        <f>B128</f>
        <v>2</v>
      </c>
      <c r="C129" s="88"/>
      <c r="D129" s="88"/>
      <c r="E129" s="88">
        <f>E128</f>
        <v>144</v>
      </c>
    </row>
    <row r="130" spans="1:5" ht="17.25" customHeight="1">
      <c r="A130" s="88" t="s">
        <v>14</v>
      </c>
      <c r="B130" s="112">
        <f>B120+B126+B129</f>
        <v>142</v>
      </c>
      <c r="C130" s="112"/>
      <c r="D130" s="112"/>
      <c r="E130" s="112">
        <f>E120+E126+E129</f>
        <v>8503</v>
      </c>
    </row>
    <row r="131" spans="1:5" ht="17.25" customHeight="1">
      <c r="A131" s="104"/>
      <c r="B131" s="113"/>
      <c r="C131" s="119"/>
      <c r="D131" s="112"/>
      <c r="E131" s="112"/>
    </row>
    <row r="132" spans="1:5" ht="31.5" customHeight="1">
      <c r="A132" s="308" t="s">
        <v>269</v>
      </c>
      <c r="B132" s="309"/>
      <c r="C132" s="309"/>
      <c r="D132" s="309"/>
      <c r="E132" s="309"/>
    </row>
    <row r="133" spans="1:5" ht="24.75" customHeight="1">
      <c r="A133" s="27" t="s">
        <v>217</v>
      </c>
      <c r="B133" s="27" t="s">
        <v>218</v>
      </c>
      <c r="C133" s="27" t="s">
        <v>219</v>
      </c>
      <c r="D133" s="27" t="s">
        <v>220</v>
      </c>
      <c r="E133" s="110" t="s">
        <v>221</v>
      </c>
    </row>
    <row r="134" spans="1:5" ht="17.25" customHeight="1">
      <c r="A134" s="310" t="s">
        <v>228</v>
      </c>
      <c r="B134" s="311"/>
      <c r="C134" s="312"/>
      <c r="D134" s="45"/>
      <c r="E134" s="44"/>
    </row>
    <row r="135" spans="1:5" ht="17.25" customHeight="1">
      <c r="A135" s="45">
        <v>996</v>
      </c>
      <c r="B135" s="45">
        <v>3</v>
      </c>
      <c r="C135" s="45" t="s">
        <v>223</v>
      </c>
      <c r="D135" s="45" t="s">
        <v>331</v>
      </c>
      <c r="E135" s="144">
        <v>216</v>
      </c>
    </row>
    <row r="136" spans="1:5" ht="17.25" customHeight="1">
      <c r="A136" s="45">
        <v>997</v>
      </c>
      <c r="B136" s="45">
        <v>3</v>
      </c>
      <c r="C136" s="45" t="s">
        <v>243</v>
      </c>
      <c r="D136" s="45" t="s">
        <v>332</v>
      </c>
      <c r="E136" s="144">
        <v>304</v>
      </c>
    </row>
    <row r="137" spans="1:5" ht="17.25" customHeight="1">
      <c r="A137" s="200"/>
      <c r="B137" s="114">
        <f>SUM(B135:B136)</f>
        <v>6</v>
      </c>
      <c r="C137" s="114"/>
      <c r="D137" s="114"/>
      <c r="E137" s="114">
        <f>SUM(E135:E136)</f>
        <v>520</v>
      </c>
    </row>
    <row r="138" spans="1:5" ht="17.25" customHeight="1">
      <c r="A138" s="310" t="s">
        <v>222</v>
      </c>
      <c r="B138" s="311"/>
      <c r="C138" s="312"/>
      <c r="D138" s="38"/>
      <c r="E138" s="38"/>
    </row>
    <row r="139" spans="1:5" ht="17.25" customHeight="1">
      <c r="A139" s="85">
        <v>998</v>
      </c>
      <c r="B139" s="118">
        <v>3</v>
      </c>
      <c r="C139" s="85" t="s">
        <v>242</v>
      </c>
      <c r="D139" s="45" t="s">
        <v>246</v>
      </c>
      <c r="E139" s="145">
        <v>137</v>
      </c>
    </row>
    <row r="140" spans="1:5" ht="17.25" customHeight="1">
      <c r="A140" s="85">
        <v>999</v>
      </c>
      <c r="B140" s="118">
        <v>14</v>
      </c>
      <c r="C140" s="85" t="s">
        <v>223</v>
      </c>
      <c r="D140" s="45" t="s">
        <v>333</v>
      </c>
      <c r="E140" s="145">
        <v>1255</v>
      </c>
    </row>
    <row r="141" spans="1:5" ht="17.25" customHeight="1">
      <c r="A141" s="85">
        <v>1000</v>
      </c>
      <c r="B141" s="118">
        <v>7</v>
      </c>
      <c r="C141" s="85" t="s">
        <v>223</v>
      </c>
      <c r="D141" s="45" t="s">
        <v>334</v>
      </c>
      <c r="E141" s="145">
        <v>613</v>
      </c>
    </row>
    <row r="142" spans="1:5" ht="17.25" customHeight="1">
      <c r="A142" s="85">
        <v>1001</v>
      </c>
      <c r="B142" s="118">
        <v>1</v>
      </c>
      <c r="C142" s="85" t="s">
        <v>243</v>
      </c>
      <c r="D142" s="45" t="s">
        <v>245</v>
      </c>
      <c r="E142" s="145">
        <v>101</v>
      </c>
    </row>
    <row r="143" spans="1:5" ht="17.25" customHeight="1">
      <c r="A143" s="45"/>
      <c r="B143" s="175">
        <f>SUM(B139:B142)</f>
        <v>25</v>
      </c>
      <c r="C143" s="175"/>
      <c r="D143" s="175"/>
      <c r="E143" s="175">
        <f>SUM(E139:E142)</f>
        <v>2106</v>
      </c>
    </row>
    <row r="144" spans="1:5" ht="17.25" customHeight="1">
      <c r="A144" s="175" t="s">
        <v>14</v>
      </c>
      <c r="B144" s="180">
        <f>B137+B143</f>
        <v>31</v>
      </c>
      <c r="C144" s="180"/>
      <c r="D144" s="180"/>
      <c r="E144" s="180">
        <f>E137+E143</f>
        <v>2626</v>
      </c>
    </row>
    <row r="145" spans="1:5" ht="17.25" customHeight="1">
      <c r="A145" s="183"/>
      <c r="B145" s="181"/>
      <c r="C145" s="182"/>
      <c r="D145" s="180"/>
      <c r="E145" s="180"/>
    </row>
    <row r="146" spans="1:11" ht="29.25" customHeight="1">
      <c r="A146" s="308" t="s">
        <v>353</v>
      </c>
      <c r="B146" s="309"/>
      <c r="C146" s="309"/>
      <c r="D146" s="309"/>
      <c r="E146" s="309"/>
      <c r="F146" s="190"/>
      <c r="G146" s="211"/>
      <c r="H146" s="210">
        <v>7</v>
      </c>
      <c r="I146" s="195">
        <v>6.3</v>
      </c>
      <c r="J146" s="196" t="s">
        <v>338</v>
      </c>
      <c r="K146" s="196">
        <v>365</v>
      </c>
    </row>
    <row r="147" spans="1:7" ht="23.25" customHeight="1">
      <c r="A147" s="27" t="s">
        <v>217</v>
      </c>
      <c r="B147" s="27" t="s">
        <v>218</v>
      </c>
      <c r="C147" s="27" t="s">
        <v>219</v>
      </c>
      <c r="D147" s="27" t="s">
        <v>220</v>
      </c>
      <c r="E147" s="110" t="s">
        <v>221</v>
      </c>
      <c r="F147" s="190"/>
      <c r="G147" s="190"/>
    </row>
    <row r="148" spans="1:7" ht="17.25" customHeight="1">
      <c r="A148" s="310" t="s">
        <v>228</v>
      </c>
      <c r="B148" s="311"/>
      <c r="C148" s="312"/>
      <c r="D148" s="45"/>
      <c r="E148" s="44"/>
      <c r="F148" s="190"/>
      <c r="G148" s="190"/>
    </row>
    <row r="149" spans="1:7" ht="17.25" customHeight="1">
      <c r="A149" s="204">
        <v>717</v>
      </c>
      <c r="B149" s="201">
        <v>4</v>
      </c>
      <c r="C149" s="201" t="s">
        <v>229</v>
      </c>
      <c r="D149" s="202" t="s">
        <v>335</v>
      </c>
      <c r="E149" s="202">
        <v>245</v>
      </c>
      <c r="F149" s="190"/>
      <c r="G149" s="190"/>
    </row>
    <row r="150" spans="1:7" ht="17.25" customHeight="1">
      <c r="A150" s="204">
        <v>718</v>
      </c>
      <c r="B150" s="201">
        <v>2</v>
      </c>
      <c r="C150" s="201" t="s">
        <v>230</v>
      </c>
      <c r="D150" s="202" t="s">
        <v>336</v>
      </c>
      <c r="E150" s="201">
        <v>166</v>
      </c>
      <c r="F150" s="190"/>
      <c r="G150" s="190"/>
    </row>
    <row r="151" spans="1:7" ht="17.25" customHeight="1">
      <c r="A151" s="204">
        <v>719</v>
      </c>
      <c r="B151" s="203">
        <v>2</v>
      </c>
      <c r="C151" s="203" t="s">
        <v>233</v>
      </c>
      <c r="D151" s="204" t="s">
        <v>337</v>
      </c>
      <c r="E151" s="205">
        <v>194</v>
      </c>
      <c r="F151" s="190"/>
      <c r="G151" s="190"/>
    </row>
    <row r="152" spans="1:7" ht="17.25" customHeight="1">
      <c r="A152" s="186"/>
      <c r="B152" s="186">
        <f>SUM(B149:B151)</f>
        <v>8</v>
      </c>
      <c r="C152" s="186"/>
      <c r="D152" s="186"/>
      <c r="E152" s="187">
        <f>SUM(E149:E151)</f>
        <v>605</v>
      </c>
      <c r="F152" s="190"/>
      <c r="G152" s="190"/>
    </row>
    <row r="153" spans="1:7" ht="17.25" customHeight="1">
      <c r="A153" s="310" t="s">
        <v>222</v>
      </c>
      <c r="B153" s="311"/>
      <c r="C153" s="312"/>
      <c r="D153" s="186"/>
      <c r="E153" s="187"/>
      <c r="F153" s="190"/>
      <c r="G153" s="190"/>
    </row>
    <row r="154" spans="1:7" ht="17.25" customHeight="1">
      <c r="A154" s="204">
        <v>720</v>
      </c>
      <c r="B154" s="203">
        <v>7</v>
      </c>
      <c r="C154" s="203" t="s">
        <v>229</v>
      </c>
      <c r="D154" s="204" t="s">
        <v>338</v>
      </c>
      <c r="E154" s="204">
        <v>365</v>
      </c>
      <c r="F154" s="190"/>
      <c r="G154" s="190"/>
    </row>
    <row r="155" spans="1:7" ht="17.25" customHeight="1">
      <c r="A155" s="21">
        <v>721</v>
      </c>
      <c r="B155" s="207">
        <v>2</v>
      </c>
      <c r="C155" s="208" t="s">
        <v>247</v>
      </c>
      <c r="D155" s="204" t="s">
        <v>339</v>
      </c>
      <c r="E155" s="21">
        <v>410</v>
      </c>
      <c r="F155" s="190"/>
      <c r="G155" s="190"/>
    </row>
    <row r="156" spans="1:7" ht="17.25" customHeight="1">
      <c r="A156" s="21">
        <v>722</v>
      </c>
      <c r="B156" s="207">
        <v>2</v>
      </c>
      <c r="C156" s="208" t="s">
        <v>251</v>
      </c>
      <c r="D156" s="204" t="s">
        <v>340</v>
      </c>
      <c r="E156" s="21">
        <v>490</v>
      </c>
      <c r="F156" s="190"/>
      <c r="G156" s="190"/>
    </row>
    <row r="157" spans="1:7" ht="17.25" customHeight="1">
      <c r="A157" s="21">
        <v>723</v>
      </c>
      <c r="B157" s="21">
        <v>3</v>
      </c>
      <c r="C157" s="206" t="s">
        <v>270</v>
      </c>
      <c r="D157" s="21" t="s">
        <v>341</v>
      </c>
      <c r="E157" s="21">
        <v>1400</v>
      </c>
      <c r="F157" s="190"/>
      <c r="G157" s="190"/>
    </row>
    <row r="158" spans="1:7" ht="17.25" customHeight="1">
      <c r="A158" s="21">
        <v>724</v>
      </c>
      <c r="B158" s="207">
        <v>8</v>
      </c>
      <c r="C158" s="197" t="s">
        <v>342</v>
      </c>
      <c r="D158" s="204" t="s">
        <v>343</v>
      </c>
      <c r="E158" s="21">
        <v>5651</v>
      </c>
      <c r="F158" s="190"/>
      <c r="G158" s="190"/>
    </row>
    <row r="159" spans="1:7" ht="17.25" customHeight="1">
      <c r="A159" s="21">
        <v>725</v>
      </c>
      <c r="B159" s="207">
        <v>1</v>
      </c>
      <c r="C159" s="197" t="s">
        <v>344</v>
      </c>
      <c r="D159" s="204" t="s">
        <v>345</v>
      </c>
      <c r="E159" s="21">
        <v>1033</v>
      </c>
      <c r="F159" s="190"/>
      <c r="G159" s="190"/>
    </row>
    <row r="160" spans="1:7" ht="17.25" customHeight="1">
      <c r="A160" s="45"/>
      <c r="B160" s="186">
        <f>SUM(B154:B159)</f>
        <v>23</v>
      </c>
      <c r="C160" s="186"/>
      <c r="D160" s="186"/>
      <c r="E160" s="187">
        <f>SUM(E154:E159)</f>
        <v>9349</v>
      </c>
      <c r="F160" s="190"/>
      <c r="G160" s="190"/>
    </row>
    <row r="161" spans="1:7" ht="17.25" customHeight="1">
      <c r="A161" s="186" t="s">
        <v>14</v>
      </c>
      <c r="B161" s="180">
        <f>B152+B160</f>
        <v>31</v>
      </c>
      <c r="C161" s="180"/>
      <c r="D161" s="180"/>
      <c r="E161" s="180">
        <f>E152+E160</f>
        <v>9954</v>
      </c>
      <c r="F161" s="190"/>
      <c r="G161" s="190"/>
    </row>
    <row r="162" spans="1:7" ht="17.25" customHeight="1">
      <c r="A162" s="194"/>
      <c r="B162" s="181"/>
      <c r="C162" s="182"/>
      <c r="D162" s="182"/>
      <c r="E162" s="182"/>
      <c r="F162" s="190"/>
      <c r="G162" s="190"/>
    </row>
    <row r="163" spans="1:7" ht="28.5" customHeight="1">
      <c r="A163" s="308" t="s">
        <v>354</v>
      </c>
      <c r="B163" s="309"/>
      <c r="C163" s="309"/>
      <c r="D163" s="309"/>
      <c r="E163" s="309"/>
      <c r="F163" s="190"/>
      <c r="G163" s="190"/>
    </row>
    <row r="164" spans="1:7" ht="26.25" customHeight="1">
      <c r="A164" s="27" t="s">
        <v>217</v>
      </c>
      <c r="B164" s="27" t="s">
        <v>218</v>
      </c>
      <c r="C164" s="27" t="s">
        <v>219</v>
      </c>
      <c r="D164" s="27" t="s">
        <v>220</v>
      </c>
      <c r="E164" s="110" t="s">
        <v>221</v>
      </c>
      <c r="F164" s="190"/>
      <c r="G164" s="190"/>
    </row>
    <row r="165" spans="1:7" ht="17.25" customHeight="1">
      <c r="A165" s="310" t="s">
        <v>228</v>
      </c>
      <c r="B165" s="311"/>
      <c r="C165" s="312"/>
      <c r="D165" s="45"/>
      <c r="E165" s="44"/>
      <c r="F165" s="190"/>
      <c r="G165" s="190"/>
    </row>
    <row r="166" spans="1:7" ht="17.25" customHeight="1">
      <c r="A166" s="50">
        <v>724</v>
      </c>
      <c r="B166" s="143">
        <v>1</v>
      </c>
      <c r="C166" s="143" t="s">
        <v>229</v>
      </c>
      <c r="D166" s="143" t="s">
        <v>346</v>
      </c>
      <c r="E166" s="143">
        <v>50</v>
      </c>
      <c r="F166" s="190"/>
      <c r="G166" s="190"/>
    </row>
    <row r="167" spans="1:7" ht="17.25" customHeight="1">
      <c r="A167" s="50">
        <v>725</v>
      </c>
      <c r="B167" s="143">
        <v>6</v>
      </c>
      <c r="C167" s="143" t="s">
        <v>230</v>
      </c>
      <c r="D167" s="143" t="s">
        <v>347</v>
      </c>
      <c r="E167" s="143">
        <v>446</v>
      </c>
      <c r="F167" s="190"/>
      <c r="G167" s="190"/>
    </row>
    <row r="168" spans="1:7" ht="17.25" customHeight="1">
      <c r="A168" s="50">
        <v>726</v>
      </c>
      <c r="B168" s="143">
        <v>21</v>
      </c>
      <c r="C168" s="143" t="s">
        <v>233</v>
      </c>
      <c r="D168" s="209" t="s">
        <v>352</v>
      </c>
      <c r="E168" s="143">
        <v>2233</v>
      </c>
      <c r="F168" s="190"/>
      <c r="G168" s="190"/>
    </row>
    <row r="169" spans="1:7" ht="17.25" customHeight="1">
      <c r="A169" s="193"/>
      <c r="B169" s="193">
        <f>SUM(B166:B168)</f>
        <v>28</v>
      </c>
      <c r="C169" s="193"/>
      <c r="D169" s="193"/>
      <c r="E169" s="193">
        <f>SUM(E166:E168)</f>
        <v>2729</v>
      </c>
      <c r="F169" s="190"/>
      <c r="G169" s="190"/>
    </row>
    <row r="170" spans="1:7" ht="17.25" customHeight="1">
      <c r="A170" s="310" t="s">
        <v>222</v>
      </c>
      <c r="B170" s="311"/>
      <c r="C170" s="312"/>
      <c r="D170" s="193"/>
      <c r="E170" s="194"/>
      <c r="F170" s="190"/>
      <c r="G170" s="190"/>
    </row>
    <row r="171" spans="1:7" ht="17.25" customHeight="1">
      <c r="A171" s="50">
        <v>730</v>
      </c>
      <c r="B171" s="143">
        <v>1</v>
      </c>
      <c r="C171" s="147" t="s">
        <v>251</v>
      </c>
      <c r="D171" s="143" t="s">
        <v>348</v>
      </c>
      <c r="E171" s="143">
        <v>265</v>
      </c>
      <c r="F171" s="190"/>
      <c r="G171" s="190"/>
    </row>
    <row r="172" spans="1:7" ht="17.25" customHeight="1">
      <c r="A172" s="50">
        <v>727</v>
      </c>
      <c r="B172" s="143">
        <v>10</v>
      </c>
      <c r="C172" s="143" t="s">
        <v>230</v>
      </c>
      <c r="D172" s="143" t="s">
        <v>349</v>
      </c>
      <c r="E172" s="143">
        <v>750</v>
      </c>
      <c r="F172" s="190"/>
      <c r="G172" s="190"/>
    </row>
    <row r="173" spans="1:7" ht="17.25" customHeight="1">
      <c r="A173" s="50">
        <v>728</v>
      </c>
      <c r="B173" s="143">
        <v>5</v>
      </c>
      <c r="C173" s="143" t="s">
        <v>233</v>
      </c>
      <c r="D173" s="143" t="s">
        <v>350</v>
      </c>
      <c r="E173" s="143">
        <v>403</v>
      </c>
      <c r="F173" s="190"/>
      <c r="G173" s="190"/>
    </row>
    <row r="174" spans="1:7" ht="17.25" customHeight="1">
      <c r="A174" s="50">
        <v>729</v>
      </c>
      <c r="B174" s="143">
        <v>2</v>
      </c>
      <c r="C174" s="147" t="s">
        <v>238</v>
      </c>
      <c r="D174" s="143" t="s">
        <v>351</v>
      </c>
      <c r="E174" s="143">
        <v>207</v>
      </c>
      <c r="F174" s="190"/>
      <c r="G174" s="190"/>
    </row>
    <row r="175" spans="1:7" ht="17.25" customHeight="1">
      <c r="A175" s="45"/>
      <c r="B175" s="193">
        <f>SUM(B171:B174)</f>
        <v>18</v>
      </c>
      <c r="C175" s="193"/>
      <c r="D175" s="193"/>
      <c r="E175" s="193">
        <f>SUM(E171:E174)</f>
        <v>1625</v>
      </c>
      <c r="F175" s="190"/>
      <c r="G175" s="190"/>
    </row>
    <row r="176" spans="1:7" ht="17.25" customHeight="1">
      <c r="A176" s="193" t="s">
        <v>14</v>
      </c>
      <c r="B176" s="180">
        <f>B169+B175</f>
        <v>46</v>
      </c>
      <c r="C176" s="180"/>
      <c r="D176" s="180"/>
      <c r="E176" s="180">
        <f>E169+E175</f>
        <v>4354</v>
      </c>
      <c r="F176" s="190"/>
      <c r="G176" s="190"/>
    </row>
    <row r="177" spans="1:7" ht="17.25" customHeight="1">
      <c r="A177" s="199"/>
      <c r="B177" s="181"/>
      <c r="C177" s="182"/>
      <c r="D177" s="180"/>
      <c r="E177" s="180"/>
      <c r="F177" s="190"/>
      <c r="G177" s="190"/>
    </row>
    <row r="178" spans="1:7" ht="27.75" customHeight="1">
      <c r="A178" s="308" t="s">
        <v>355</v>
      </c>
      <c r="B178" s="309"/>
      <c r="C178" s="309"/>
      <c r="D178" s="309"/>
      <c r="E178" s="309"/>
      <c r="F178" s="190"/>
      <c r="G178" s="190"/>
    </row>
    <row r="179" spans="1:7" ht="21.75" customHeight="1">
      <c r="A179" s="27" t="s">
        <v>217</v>
      </c>
      <c r="B179" s="27" t="s">
        <v>218</v>
      </c>
      <c r="C179" s="27" t="s">
        <v>219</v>
      </c>
      <c r="D179" s="27" t="s">
        <v>220</v>
      </c>
      <c r="E179" s="110" t="s">
        <v>221</v>
      </c>
      <c r="F179" s="190"/>
      <c r="G179" s="190"/>
    </row>
    <row r="180" spans="1:7" ht="17.25" customHeight="1">
      <c r="A180" s="310" t="s">
        <v>228</v>
      </c>
      <c r="B180" s="311"/>
      <c r="C180" s="312"/>
      <c r="D180" s="45"/>
      <c r="E180" s="44"/>
      <c r="F180" s="190"/>
      <c r="G180" s="190"/>
    </row>
    <row r="181" spans="1:7" ht="17.25" customHeight="1">
      <c r="A181" s="50">
        <v>431</v>
      </c>
      <c r="B181" s="50">
        <v>6</v>
      </c>
      <c r="C181" s="50" t="s">
        <v>233</v>
      </c>
      <c r="D181" s="50" t="s">
        <v>356</v>
      </c>
      <c r="E181" s="50">
        <v>696</v>
      </c>
      <c r="F181" s="190"/>
      <c r="G181" s="190"/>
    </row>
    <row r="182" spans="1:7" ht="17.25" customHeight="1">
      <c r="A182" s="50">
        <v>431</v>
      </c>
      <c r="B182" s="50">
        <v>2</v>
      </c>
      <c r="C182" s="50" t="s">
        <v>230</v>
      </c>
      <c r="D182" s="50" t="s">
        <v>357</v>
      </c>
      <c r="E182" s="50">
        <v>174</v>
      </c>
      <c r="F182" s="190"/>
      <c r="G182" s="190"/>
    </row>
    <row r="183" spans="1:7" ht="17.25" customHeight="1">
      <c r="A183" s="198"/>
      <c r="B183" s="198">
        <f>SUM(B181:B182)</f>
        <v>8</v>
      </c>
      <c r="C183" s="198"/>
      <c r="D183" s="198"/>
      <c r="E183" s="198">
        <f>SUM(E181:E182)</f>
        <v>870</v>
      </c>
      <c r="F183" s="190"/>
      <c r="G183" s="190"/>
    </row>
    <row r="184" spans="1:7" ht="17.25" customHeight="1">
      <c r="A184" s="310" t="s">
        <v>222</v>
      </c>
      <c r="B184" s="311"/>
      <c r="C184" s="312"/>
      <c r="D184" s="198"/>
      <c r="E184" s="199"/>
      <c r="F184" s="190"/>
      <c r="G184" s="190"/>
    </row>
    <row r="185" spans="1:7" ht="17.25" customHeight="1">
      <c r="A185" s="50">
        <v>433</v>
      </c>
      <c r="B185" s="50">
        <v>2</v>
      </c>
      <c r="C185" s="147" t="s">
        <v>238</v>
      </c>
      <c r="D185" s="50" t="s">
        <v>358</v>
      </c>
      <c r="E185" s="50">
        <v>250</v>
      </c>
      <c r="F185" s="190"/>
      <c r="G185" s="190"/>
    </row>
    <row r="186" spans="1:7" ht="17.25" customHeight="1">
      <c r="A186" s="50">
        <v>432</v>
      </c>
      <c r="B186" s="50">
        <v>1</v>
      </c>
      <c r="C186" s="50" t="s">
        <v>233</v>
      </c>
      <c r="D186" s="50" t="s">
        <v>245</v>
      </c>
      <c r="E186" s="50">
        <v>90</v>
      </c>
      <c r="F186" s="190"/>
      <c r="G186" s="190"/>
    </row>
    <row r="187" spans="1:7" ht="17.25" customHeight="1">
      <c r="A187" s="50">
        <v>432</v>
      </c>
      <c r="B187" s="50">
        <v>1</v>
      </c>
      <c r="C187" s="147" t="s">
        <v>238</v>
      </c>
      <c r="D187" s="50" t="s">
        <v>245</v>
      </c>
      <c r="E187" s="50">
        <v>125</v>
      </c>
      <c r="F187" s="190"/>
      <c r="G187" s="190"/>
    </row>
    <row r="188" spans="1:7" ht="17.25" customHeight="1">
      <c r="A188" s="45"/>
      <c r="B188" s="198">
        <f>SUM(B185:B187)</f>
        <v>4</v>
      </c>
      <c r="C188" s="198"/>
      <c r="D188" s="198"/>
      <c r="E188" s="198">
        <f>SUM(E185:E187)</f>
        <v>465</v>
      </c>
      <c r="F188" s="190"/>
      <c r="G188" s="190"/>
    </row>
    <row r="189" spans="1:7" ht="17.25" customHeight="1">
      <c r="A189" s="198" t="s">
        <v>14</v>
      </c>
      <c r="B189" s="180">
        <f>B183+B188</f>
        <v>12</v>
      </c>
      <c r="C189" s="180"/>
      <c r="D189" s="180"/>
      <c r="E189" s="180">
        <f>E183+E188</f>
        <v>1335</v>
      </c>
      <c r="F189" s="190"/>
      <c r="G189" s="190"/>
    </row>
    <row r="190" spans="1:7" ht="17.25" customHeight="1">
      <c r="A190" s="212"/>
      <c r="B190" s="181"/>
      <c r="C190" s="182"/>
      <c r="D190" s="180"/>
      <c r="E190" s="180"/>
      <c r="F190" s="190"/>
      <c r="G190" s="190"/>
    </row>
    <row r="191" spans="1:7" ht="27" customHeight="1">
      <c r="A191" s="308" t="s">
        <v>360</v>
      </c>
      <c r="B191" s="309"/>
      <c r="C191" s="309"/>
      <c r="D191" s="309"/>
      <c r="E191" s="309"/>
      <c r="F191" s="190"/>
      <c r="G191" s="190"/>
    </row>
    <row r="192" spans="1:7" ht="17.25" customHeight="1">
      <c r="A192" s="27" t="s">
        <v>217</v>
      </c>
      <c r="B192" s="27" t="s">
        <v>218</v>
      </c>
      <c r="C192" s="27" t="s">
        <v>219</v>
      </c>
      <c r="D192" s="27" t="s">
        <v>220</v>
      </c>
      <c r="E192" s="110" t="s">
        <v>221</v>
      </c>
      <c r="F192" s="190"/>
      <c r="G192" s="190"/>
    </row>
    <row r="193" spans="1:7" ht="17.25" customHeight="1">
      <c r="A193" s="310" t="s">
        <v>228</v>
      </c>
      <c r="B193" s="311"/>
      <c r="C193" s="312"/>
      <c r="D193" s="45"/>
      <c r="E193" s="44"/>
      <c r="F193" s="190"/>
      <c r="G193" s="190"/>
    </row>
    <row r="194" spans="1:7" ht="17.25" customHeight="1">
      <c r="A194" s="73">
        <v>23103</v>
      </c>
      <c r="B194" s="73">
        <v>6</v>
      </c>
      <c r="C194" s="45" t="s">
        <v>230</v>
      </c>
      <c r="D194" s="45" t="s">
        <v>361</v>
      </c>
      <c r="E194" s="73">
        <v>475</v>
      </c>
      <c r="F194" s="190"/>
      <c r="G194" s="190"/>
    </row>
    <row r="195" spans="1:7" ht="17.25" customHeight="1">
      <c r="A195" s="73">
        <v>23104</v>
      </c>
      <c r="B195" s="73">
        <v>12</v>
      </c>
      <c r="C195" s="45" t="s">
        <v>233</v>
      </c>
      <c r="D195" s="45" t="s">
        <v>362</v>
      </c>
      <c r="E195" s="73">
        <v>1376</v>
      </c>
      <c r="F195" s="190"/>
      <c r="G195" s="190"/>
    </row>
    <row r="196" spans="1:7" ht="17.25" customHeight="1">
      <c r="A196" s="213"/>
      <c r="B196" s="213">
        <f>SUM(B194:B195)</f>
        <v>18</v>
      </c>
      <c r="C196" s="213"/>
      <c r="D196" s="213"/>
      <c r="E196" s="212">
        <f>SUM(E194:E195)</f>
        <v>1851</v>
      </c>
      <c r="F196" s="190"/>
      <c r="G196" s="190"/>
    </row>
    <row r="197" spans="1:7" ht="17.25" customHeight="1">
      <c r="A197" s="310" t="s">
        <v>222</v>
      </c>
      <c r="B197" s="311"/>
      <c r="C197" s="312"/>
      <c r="D197" s="213"/>
      <c r="E197" s="212"/>
      <c r="F197" s="190"/>
      <c r="G197" s="190"/>
    </row>
    <row r="198" spans="1:7" ht="17.25" customHeight="1">
      <c r="A198" s="45">
        <v>23105</v>
      </c>
      <c r="B198" s="144">
        <v>5</v>
      </c>
      <c r="C198" s="245" t="s">
        <v>247</v>
      </c>
      <c r="D198" s="144" t="s">
        <v>363</v>
      </c>
      <c r="E198" s="144">
        <v>1028</v>
      </c>
      <c r="F198" s="190"/>
      <c r="G198" s="190"/>
    </row>
    <row r="199" spans="1:7" ht="17.25" customHeight="1">
      <c r="A199" s="45">
        <v>23106</v>
      </c>
      <c r="B199" s="144">
        <v>2</v>
      </c>
      <c r="C199" s="237" t="s">
        <v>251</v>
      </c>
      <c r="D199" s="144" t="s">
        <v>364</v>
      </c>
      <c r="E199" s="144">
        <v>565</v>
      </c>
      <c r="F199" s="190"/>
      <c r="G199" s="190"/>
    </row>
    <row r="200" spans="1:7" ht="17.25" customHeight="1">
      <c r="A200" s="73">
        <v>23107</v>
      </c>
      <c r="B200" s="246">
        <v>1</v>
      </c>
      <c r="C200" s="247" t="s">
        <v>230</v>
      </c>
      <c r="D200" s="247" t="s">
        <v>365</v>
      </c>
      <c r="E200" s="246">
        <v>81</v>
      </c>
      <c r="F200" s="190"/>
      <c r="G200" s="190"/>
    </row>
    <row r="201" spans="1:7" ht="17.25" customHeight="1">
      <c r="A201" s="73">
        <v>23107</v>
      </c>
      <c r="B201" s="246">
        <v>1</v>
      </c>
      <c r="C201" s="247" t="s">
        <v>233</v>
      </c>
      <c r="D201" s="248" t="s">
        <v>366</v>
      </c>
      <c r="E201" s="247">
        <v>88</v>
      </c>
      <c r="F201" s="190"/>
      <c r="G201" s="190"/>
    </row>
    <row r="202" spans="1:7" ht="17.25" customHeight="1">
      <c r="A202" s="73">
        <v>23107</v>
      </c>
      <c r="B202" s="246">
        <v>1</v>
      </c>
      <c r="C202" s="237" t="s">
        <v>238</v>
      </c>
      <c r="D202" s="248" t="s">
        <v>366</v>
      </c>
      <c r="E202" s="246">
        <v>118</v>
      </c>
      <c r="F202" s="190"/>
      <c r="G202" s="190"/>
    </row>
    <row r="203" spans="1:7" ht="17.25" customHeight="1">
      <c r="A203" s="45"/>
      <c r="B203" s="213">
        <f>SUM(B198:B202)</f>
        <v>10</v>
      </c>
      <c r="C203" s="213"/>
      <c r="D203" s="213"/>
      <c r="E203" s="212">
        <f>SUM(E198:E202)</f>
        <v>1880</v>
      </c>
      <c r="F203" s="190"/>
      <c r="G203" s="190"/>
    </row>
    <row r="204" spans="1:7" ht="17.25" customHeight="1">
      <c r="A204" s="213" t="s">
        <v>14</v>
      </c>
      <c r="B204" s="180">
        <f>B196+B203</f>
        <v>28</v>
      </c>
      <c r="C204" s="180"/>
      <c r="D204" s="180"/>
      <c r="E204" s="180">
        <f>E196+E203</f>
        <v>3731</v>
      </c>
      <c r="F204" s="190"/>
      <c r="G204" s="190"/>
    </row>
    <row r="205" spans="1:7" ht="17.25" customHeight="1">
      <c r="A205" s="212"/>
      <c r="B205" s="181"/>
      <c r="C205" s="182"/>
      <c r="D205" s="180"/>
      <c r="E205" s="180"/>
      <c r="F205" s="190"/>
      <c r="G205" s="190"/>
    </row>
    <row r="206" spans="1:7" ht="29.25" customHeight="1">
      <c r="A206" s="308" t="s">
        <v>367</v>
      </c>
      <c r="B206" s="309"/>
      <c r="C206" s="309"/>
      <c r="D206" s="309"/>
      <c r="E206" s="309"/>
      <c r="F206" s="190"/>
      <c r="G206" s="190"/>
    </row>
    <row r="207" spans="1:7" ht="17.25" customHeight="1">
      <c r="A207" s="27" t="s">
        <v>217</v>
      </c>
      <c r="B207" s="27" t="s">
        <v>218</v>
      </c>
      <c r="C207" s="27" t="s">
        <v>219</v>
      </c>
      <c r="D207" s="27" t="s">
        <v>220</v>
      </c>
      <c r="E207" s="110" t="s">
        <v>221</v>
      </c>
      <c r="F207" s="190"/>
      <c r="G207" s="190"/>
    </row>
    <row r="208" spans="1:7" ht="17.25" customHeight="1">
      <c r="A208" s="310" t="s">
        <v>228</v>
      </c>
      <c r="B208" s="311"/>
      <c r="C208" s="312"/>
      <c r="D208" s="45"/>
      <c r="E208" s="44"/>
      <c r="F208" s="190"/>
      <c r="G208" s="190"/>
    </row>
    <row r="209" spans="1:7" ht="17.25" customHeight="1">
      <c r="A209" s="148" t="s">
        <v>368</v>
      </c>
      <c r="B209" s="178">
        <v>3</v>
      </c>
      <c r="C209" s="178" t="s">
        <v>230</v>
      </c>
      <c r="D209" s="178" t="s">
        <v>369</v>
      </c>
      <c r="E209" s="178">
        <v>245</v>
      </c>
      <c r="F209" s="190"/>
      <c r="G209" s="190"/>
    </row>
    <row r="210" spans="1:7" ht="17.25" customHeight="1">
      <c r="A210" s="213"/>
      <c r="B210" s="213">
        <f>SUM(B209:B209)</f>
        <v>3</v>
      </c>
      <c r="C210" s="213"/>
      <c r="D210" s="213"/>
      <c r="E210" s="212">
        <f>SUM(E209:E209)</f>
        <v>245</v>
      </c>
      <c r="F210" s="190"/>
      <c r="G210" s="190"/>
    </row>
    <row r="211" spans="1:7" ht="17.25" customHeight="1">
      <c r="A211" s="310" t="s">
        <v>222</v>
      </c>
      <c r="B211" s="311"/>
      <c r="C211" s="312"/>
      <c r="D211" s="213"/>
      <c r="E211" s="212"/>
      <c r="F211" s="190"/>
      <c r="G211" s="190"/>
    </row>
    <row r="212" spans="1:7" ht="17.25" customHeight="1">
      <c r="A212" s="148" t="s">
        <v>370</v>
      </c>
      <c r="B212" s="143">
        <v>3</v>
      </c>
      <c r="C212" s="147" t="s">
        <v>238</v>
      </c>
      <c r="D212" s="143" t="s">
        <v>371</v>
      </c>
      <c r="E212" s="143">
        <v>373</v>
      </c>
      <c r="F212" s="190"/>
      <c r="G212" s="190"/>
    </row>
    <row r="213" spans="1:7" ht="17.25" customHeight="1">
      <c r="A213" s="148" t="s">
        <v>370</v>
      </c>
      <c r="B213" s="189">
        <v>4</v>
      </c>
      <c r="C213" s="197" t="s">
        <v>247</v>
      </c>
      <c r="D213" s="144" t="s">
        <v>372</v>
      </c>
      <c r="E213" s="189">
        <v>820</v>
      </c>
      <c r="F213" s="190"/>
      <c r="G213" s="190"/>
    </row>
    <row r="214" spans="1:7" ht="17.25" customHeight="1">
      <c r="A214" s="148" t="s">
        <v>373</v>
      </c>
      <c r="B214" s="143">
        <v>2</v>
      </c>
      <c r="C214" s="143" t="s">
        <v>230</v>
      </c>
      <c r="D214" s="45" t="s">
        <v>374</v>
      </c>
      <c r="E214" s="143">
        <v>144</v>
      </c>
      <c r="F214" s="190"/>
      <c r="G214" s="190"/>
    </row>
    <row r="215" spans="1:7" ht="17.25" customHeight="1">
      <c r="A215" s="148" t="s">
        <v>375</v>
      </c>
      <c r="B215" s="143">
        <v>1</v>
      </c>
      <c r="C215" s="147" t="s">
        <v>238</v>
      </c>
      <c r="D215" s="45" t="s">
        <v>252</v>
      </c>
      <c r="E215" s="143">
        <v>115</v>
      </c>
      <c r="F215" s="190"/>
      <c r="G215" s="190"/>
    </row>
    <row r="216" spans="1:7" ht="17.25" customHeight="1">
      <c r="A216" s="45"/>
      <c r="B216" s="213">
        <f>SUM(B212:B215)</f>
        <v>10</v>
      </c>
      <c r="C216" s="213"/>
      <c r="D216" s="213"/>
      <c r="E216" s="212">
        <f>SUM(E212:E215)</f>
        <v>1452</v>
      </c>
      <c r="F216" s="190"/>
      <c r="G216" s="190"/>
    </row>
    <row r="217" spans="1:7" ht="17.25" customHeight="1">
      <c r="A217" s="213" t="s">
        <v>14</v>
      </c>
      <c r="B217" s="180">
        <f>B210+B216</f>
        <v>13</v>
      </c>
      <c r="C217" s="180"/>
      <c r="D217" s="180"/>
      <c r="E217" s="180">
        <f>E210+E216</f>
        <v>1697</v>
      </c>
      <c r="F217" s="190"/>
      <c r="G217" s="190"/>
    </row>
    <row r="218" spans="1:7" ht="17.25" customHeight="1">
      <c r="A218" s="212"/>
      <c r="B218" s="181"/>
      <c r="C218" s="182"/>
      <c r="D218" s="180"/>
      <c r="E218" s="180"/>
      <c r="F218" s="190"/>
      <c r="G218" s="190"/>
    </row>
    <row r="219" spans="1:7" ht="27" customHeight="1">
      <c r="A219" s="308" t="s">
        <v>376</v>
      </c>
      <c r="B219" s="309"/>
      <c r="C219" s="309"/>
      <c r="D219" s="309"/>
      <c r="E219" s="309"/>
      <c r="F219" s="190"/>
      <c r="G219" s="190"/>
    </row>
    <row r="220" spans="1:7" ht="23.25" customHeight="1">
      <c r="A220" s="27" t="s">
        <v>217</v>
      </c>
      <c r="B220" s="27" t="s">
        <v>218</v>
      </c>
      <c r="C220" s="27" t="s">
        <v>219</v>
      </c>
      <c r="D220" s="27" t="s">
        <v>220</v>
      </c>
      <c r="E220" s="110" t="s">
        <v>221</v>
      </c>
      <c r="F220" s="190"/>
      <c r="G220" s="190"/>
    </row>
    <row r="221" spans="1:7" ht="17.25" customHeight="1">
      <c r="A221" s="310" t="s">
        <v>222</v>
      </c>
      <c r="B221" s="311"/>
      <c r="C221" s="312"/>
      <c r="D221" s="213"/>
      <c r="E221" s="212"/>
      <c r="F221" s="190"/>
      <c r="G221" s="190"/>
    </row>
    <row r="222" spans="1:7" ht="17.25" customHeight="1">
      <c r="A222" s="151">
        <v>109</v>
      </c>
      <c r="B222" s="152">
        <v>25</v>
      </c>
      <c r="C222" s="152" t="s">
        <v>223</v>
      </c>
      <c r="D222" s="45" t="s">
        <v>377</v>
      </c>
      <c r="E222" s="252">
        <v>1149</v>
      </c>
      <c r="F222" s="190"/>
      <c r="G222" s="190"/>
    </row>
    <row r="223" spans="1:7" ht="17.25" customHeight="1">
      <c r="A223" s="152">
        <v>110</v>
      </c>
      <c r="B223" s="152">
        <v>29</v>
      </c>
      <c r="C223" s="152" t="s">
        <v>223</v>
      </c>
      <c r="D223" s="45" t="s">
        <v>378</v>
      </c>
      <c r="E223" s="252">
        <v>1347</v>
      </c>
      <c r="F223" s="190"/>
      <c r="G223" s="190"/>
    </row>
    <row r="224" spans="1:7" ht="17.25" customHeight="1">
      <c r="A224" s="45"/>
      <c r="B224" s="213">
        <f>SUM(B222:B223)</f>
        <v>54</v>
      </c>
      <c r="C224" s="213"/>
      <c r="D224" s="213"/>
      <c r="E224" s="212">
        <f>SUM(E222:E223)</f>
        <v>2496</v>
      </c>
      <c r="F224" s="190"/>
      <c r="G224" s="190"/>
    </row>
    <row r="225" spans="1:7" ht="17.25" customHeight="1">
      <c r="A225" s="213" t="s">
        <v>14</v>
      </c>
      <c r="B225" s="180">
        <f>B224</f>
        <v>54</v>
      </c>
      <c r="C225" s="180"/>
      <c r="D225" s="180"/>
      <c r="E225" s="180">
        <f>E224</f>
        <v>2496</v>
      </c>
      <c r="F225" s="190"/>
      <c r="G225" s="190"/>
    </row>
    <row r="226" spans="1:7" ht="17.25" customHeight="1">
      <c r="A226" s="212"/>
      <c r="B226" s="181"/>
      <c r="C226" s="182"/>
      <c r="D226" s="180"/>
      <c r="E226" s="180"/>
      <c r="F226" s="190"/>
      <c r="G226" s="190"/>
    </row>
    <row r="227" spans="1:7" ht="27.75" customHeight="1">
      <c r="A227" s="308" t="s">
        <v>379</v>
      </c>
      <c r="B227" s="309"/>
      <c r="C227" s="309"/>
      <c r="D227" s="309"/>
      <c r="E227" s="309"/>
      <c r="F227" s="190"/>
      <c r="G227" s="190"/>
    </row>
    <row r="228" spans="1:7" ht="24.75" customHeight="1">
      <c r="A228" s="27" t="s">
        <v>217</v>
      </c>
      <c r="B228" s="27" t="s">
        <v>218</v>
      </c>
      <c r="C228" s="27" t="s">
        <v>219</v>
      </c>
      <c r="D228" s="27" t="s">
        <v>220</v>
      </c>
      <c r="E228" s="110" t="s">
        <v>221</v>
      </c>
      <c r="F228" s="190"/>
      <c r="G228" s="190"/>
    </row>
    <row r="229" spans="1:7" ht="17.25" customHeight="1">
      <c r="A229" s="310" t="s">
        <v>228</v>
      </c>
      <c r="B229" s="311"/>
      <c r="C229" s="312"/>
      <c r="D229" s="45"/>
      <c r="E229" s="44"/>
      <c r="F229" s="190"/>
      <c r="G229" s="190"/>
    </row>
    <row r="230" spans="1:7" ht="17.25" customHeight="1">
      <c r="A230" s="118">
        <v>1288</v>
      </c>
      <c r="B230" s="118">
        <v>2</v>
      </c>
      <c r="C230" s="118" t="s">
        <v>229</v>
      </c>
      <c r="D230" s="85" t="s">
        <v>380</v>
      </c>
      <c r="E230" s="118">
        <v>110</v>
      </c>
      <c r="F230" s="190"/>
      <c r="G230" s="190"/>
    </row>
    <row r="231" spans="1:7" ht="17.25" customHeight="1">
      <c r="A231" s="85">
        <v>1289</v>
      </c>
      <c r="B231" s="118">
        <v>8</v>
      </c>
      <c r="C231" s="118" t="s">
        <v>223</v>
      </c>
      <c r="D231" s="85" t="s">
        <v>381</v>
      </c>
      <c r="E231" s="85">
        <v>624</v>
      </c>
      <c r="F231" s="190"/>
      <c r="G231" s="190"/>
    </row>
    <row r="232" spans="1:7" ht="17.25" customHeight="1">
      <c r="A232" s="85">
        <v>1290</v>
      </c>
      <c r="B232" s="45">
        <v>4</v>
      </c>
      <c r="C232" s="45" t="s">
        <v>233</v>
      </c>
      <c r="D232" s="45" t="s">
        <v>382</v>
      </c>
      <c r="E232" s="45">
        <v>440</v>
      </c>
      <c r="F232" s="190"/>
      <c r="G232" s="190"/>
    </row>
    <row r="233" spans="1:7" ht="17.25" customHeight="1">
      <c r="A233" s="213"/>
      <c r="B233" s="213">
        <f>SUM(B230:B232)</f>
        <v>14</v>
      </c>
      <c r="C233" s="213"/>
      <c r="D233" s="213"/>
      <c r="E233" s="213">
        <f>SUM(E230:E232)</f>
        <v>1174</v>
      </c>
      <c r="F233" s="190"/>
      <c r="G233" s="190"/>
    </row>
    <row r="234" spans="1:7" ht="17.25" customHeight="1">
      <c r="A234" s="310" t="s">
        <v>222</v>
      </c>
      <c r="B234" s="311"/>
      <c r="C234" s="312"/>
      <c r="D234" s="213"/>
      <c r="E234" s="212"/>
      <c r="F234" s="190"/>
      <c r="G234" s="190"/>
    </row>
    <row r="235" spans="1:7" ht="17.25" customHeight="1">
      <c r="A235" s="249">
        <v>1292</v>
      </c>
      <c r="B235" s="73">
        <v>3</v>
      </c>
      <c r="C235" s="237" t="s">
        <v>247</v>
      </c>
      <c r="D235" s="45" t="s">
        <v>383</v>
      </c>
      <c r="E235" s="73">
        <v>636</v>
      </c>
      <c r="F235" s="190"/>
      <c r="G235" s="190"/>
    </row>
    <row r="236" spans="1:7" ht="17.25" customHeight="1">
      <c r="A236" s="233">
        <v>1293</v>
      </c>
      <c r="B236" s="118">
        <v>3</v>
      </c>
      <c r="C236" s="237" t="s">
        <v>251</v>
      </c>
      <c r="D236" s="45" t="s">
        <v>384</v>
      </c>
      <c r="E236" s="85">
        <v>830</v>
      </c>
      <c r="F236" s="190"/>
      <c r="G236" s="190"/>
    </row>
    <row r="237" spans="1:7" ht="17.25" customHeight="1">
      <c r="A237" s="249">
        <v>1291</v>
      </c>
      <c r="B237" s="73">
        <v>25</v>
      </c>
      <c r="C237" s="45" t="s">
        <v>223</v>
      </c>
      <c r="D237" s="45" t="s">
        <v>377</v>
      </c>
      <c r="E237" s="73">
        <v>1426</v>
      </c>
      <c r="F237" s="190"/>
      <c r="G237" s="190"/>
    </row>
    <row r="238" spans="1:7" ht="17.25" customHeight="1">
      <c r="A238" s="45"/>
      <c r="B238" s="213">
        <f>SUM(B235:B237)</f>
        <v>31</v>
      </c>
      <c r="C238" s="213"/>
      <c r="D238" s="213"/>
      <c r="E238" s="212">
        <f>SUM(E235:E237)</f>
        <v>2892</v>
      </c>
      <c r="F238" s="190"/>
      <c r="G238" s="190"/>
    </row>
    <row r="239" spans="1:7" ht="17.25" customHeight="1">
      <c r="A239" s="213" t="s">
        <v>14</v>
      </c>
      <c r="B239" s="180">
        <f>B233+B238</f>
        <v>45</v>
      </c>
      <c r="C239" s="180"/>
      <c r="D239" s="180"/>
      <c r="E239" s="180">
        <f>E233+E238</f>
        <v>4066</v>
      </c>
      <c r="F239" s="190"/>
      <c r="G239" s="190"/>
    </row>
    <row r="240" spans="1:7" ht="17.25" customHeight="1">
      <c r="A240" s="219"/>
      <c r="B240" s="181"/>
      <c r="C240" s="182"/>
      <c r="D240" s="180"/>
      <c r="E240" s="180"/>
      <c r="F240" s="190"/>
      <c r="G240" s="190"/>
    </row>
    <row r="241" spans="1:7" ht="27" customHeight="1">
      <c r="A241" s="308" t="s">
        <v>416</v>
      </c>
      <c r="B241" s="309"/>
      <c r="C241" s="309"/>
      <c r="D241" s="309"/>
      <c r="E241" s="309"/>
      <c r="F241" s="190"/>
      <c r="G241" s="190"/>
    </row>
    <row r="242" spans="1:7" ht="27" customHeight="1">
      <c r="A242" s="27" t="s">
        <v>217</v>
      </c>
      <c r="B242" s="27" t="s">
        <v>218</v>
      </c>
      <c r="C242" s="27" t="s">
        <v>219</v>
      </c>
      <c r="D242" s="27" t="s">
        <v>220</v>
      </c>
      <c r="E242" s="110" t="s">
        <v>221</v>
      </c>
      <c r="F242" s="190"/>
      <c r="G242" s="190"/>
    </row>
    <row r="243" spans="1:7" ht="17.25" customHeight="1">
      <c r="A243" s="310" t="s">
        <v>228</v>
      </c>
      <c r="B243" s="311"/>
      <c r="C243" s="312"/>
      <c r="D243" s="45"/>
      <c r="E243" s="44"/>
      <c r="F243" s="190"/>
      <c r="G243" s="190"/>
    </row>
    <row r="244" spans="1:7" ht="17.25" customHeight="1">
      <c r="A244" s="21">
        <v>1123</v>
      </c>
      <c r="B244" s="207">
        <v>4</v>
      </c>
      <c r="C244" s="207" t="s">
        <v>233</v>
      </c>
      <c r="D244" s="21" t="s">
        <v>414</v>
      </c>
      <c r="E244" s="21">
        <v>448</v>
      </c>
      <c r="F244" s="190"/>
      <c r="G244" s="190"/>
    </row>
    <row r="245" spans="1:7" ht="17.25" customHeight="1">
      <c r="A245" s="21">
        <v>1124</v>
      </c>
      <c r="B245" s="207">
        <v>2</v>
      </c>
      <c r="C245" s="207" t="s">
        <v>230</v>
      </c>
      <c r="D245" s="21" t="s">
        <v>415</v>
      </c>
      <c r="E245" s="21">
        <v>166</v>
      </c>
      <c r="F245" s="190"/>
      <c r="G245" s="190"/>
    </row>
    <row r="246" spans="1:7" ht="17.25" customHeight="1">
      <c r="A246" s="45"/>
      <c r="B246" s="45">
        <f>SUM(B244:B245)</f>
        <v>6</v>
      </c>
      <c r="C246" s="45"/>
      <c r="D246" s="45"/>
      <c r="E246" s="45">
        <f>SUM(E244:E245)</f>
        <v>614</v>
      </c>
      <c r="F246" s="190"/>
      <c r="G246" s="190"/>
    </row>
    <row r="247" spans="1:7" ht="17.25" customHeight="1">
      <c r="A247" s="310" t="s">
        <v>222</v>
      </c>
      <c r="B247" s="311"/>
      <c r="C247" s="312"/>
      <c r="D247" s="45"/>
      <c r="E247" s="44"/>
      <c r="F247" s="190"/>
      <c r="G247" s="190"/>
    </row>
    <row r="248" spans="1:7" ht="17.25" customHeight="1">
      <c r="A248" s="204">
        <v>1120</v>
      </c>
      <c r="B248" s="203">
        <v>19</v>
      </c>
      <c r="C248" s="203" t="s">
        <v>233</v>
      </c>
      <c r="D248" s="45" t="s">
        <v>417</v>
      </c>
      <c r="E248" s="204">
        <v>1957</v>
      </c>
      <c r="F248" s="190"/>
      <c r="G248" s="190"/>
    </row>
    <row r="249" spans="1:7" ht="17.25" customHeight="1">
      <c r="A249" s="21">
        <v>1121</v>
      </c>
      <c r="B249" s="21">
        <v>20</v>
      </c>
      <c r="C249" s="203" t="s">
        <v>230</v>
      </c>
      <c r="D249" s="250" t="s">
        <v>418</v>
      </c>
      <c r="E249" s="21">
        <v>1860</v>
      </c>
      <c r="F249" s="190"/>
      <c r="G249" s="190"/>
    </row>
    <row r="250" spans="1:7" ht="17.25" customHeight="1">
      <c r="A250" s="21">
        <v>1122</v>
      </c>
      <c r="B250" s="21">
        <v>12</v>
      </c>
      <c r="C250" s="203" t="s">
        <v>230</v>
      </c>
      <c r="D250" s="250" t="s">
        <v>419</v>
      </c>
      <c r="E250" s="21">
        <v>1134</v>
      </c>
      <c r="F250" s="190"/>
      <c r="G250" s="190"/>
    </row>
    <row r="251" spans="1:7" ht="17.25" customHeight="1">
      <c r="A251" s="45"/>
      <c r="B251" s="218">
        <f>SUM(B248:B250)</f>
        <v>51</v>
      </c>
      <c r="C251" s="218"/>
      <c r="D251" s="218"/>
      <c r="E251" s="219">
        <f>SUM(E248:E250)</f>
        <v>4951</v>
      </c>
      <c r="F251" s="190"/>
      <c r="G251" s="190"/>
    </row>
    <row r="252" spans="1:7" ht="17.25" customHeight="1">
      <c r="A252" s="218" t="s">
        <v>14</v>
      </c>
      <c r="B252" s="180">
        <f>B246+B251</f>
        <v>57</v>
      </c>
      <c r="C252" s="180"/>
      <c r="D252" s="180"/>
      <c r="E252" s="180">
        <f>E246+E251</f>
        <v>5565</v>
      </c>
      <c r="F252" s="190"/>
      <c r="G252" s="190"/>
    </row>
    <row r="253" spans="1:7" ht="17.25" customHeight="1">
      <c r="A253" s="229"/>
      <c r="B253" s="181"/>
      <c r="C253" s="182"/>
      <c r="D253" s="180"/>
      <c r="E253" s="180"/>
      <c r="F253" s="190"/>
      <c r="G253" s="190"/>
    </row>
    <row r="254" spans="1:7" ht="30" customHeight="1">
      <c r="A254" s="308" t="s">
        <v>454</v>
      </c>
      <c r="B254" s="309"/>
      <c r="C254" s="309"/>
      <c r="D254" s="309"/>
      <c r="E254" s="309"/>
      <c r="F254" s="190" t="s">
        <v>387</v>
      </c>
      <c r="G254" s="190"/>
    </row>
    <row r="255" spans="1:7" ht="26.25" customHeight="1">
      <c r="A255" s="27" t="s">
        <v>217</v>
      </c>
      <c r="B255" s="27" t="s">
        <v>218</v>
      </c>
      <c r="C255" s="27" t="s">
        <v>219</v>
      </c>
      <c r="D255" s="27" t="s">
        <v>220</v>
      </c>
      <c r="E255" s="110" t="s">
        <v>221</v>
      </c>
      <c r="F255" s="190"/>
      <c r="G255" s="190"/>
    </row>
    <row r="256" spans="1:7" ht="17.25" customHeight="1">
      <c r="A256" s="310" t="s">
        <v>228</v>
      </c>
      <c r="B256" s="311"/>
      <c r="C256" s="312"/>
      <c r="D256" s="45"/>
      <c r="E256" s="44"/>
      <c r="F256" s="190"/>
      <c r="G256" s="190"/>
    </row>
    <row r="257" spans="1:7" ht="28.5" customHeight="1">
      <c r="A257" s="192" t="s">
        <v>427</v>
      </c>
      <c r="B257" s="188">
        <v>20</v>
      </c>
      <c r="C257" s="188" t="s">
        <v>229</v>
      </c>
      <c r="D257" s="154" t="s">
        <v>428</v>
      </c>
      <c r="E257" s="188">
        <v>1167.1</v>
      </c>
      <c r="F257" s="190"/>
      <c r="G257" s="190"/>
    </row>
    <row r="258" spans="1:7" ht="26.25" customHeight="1">
      <c r="A258" s="192" t="s">
        <v>429</v>
      </c>
      <c r="B258" s="188">
        <v>18</v>
      </c>
      <c r="C258" s="188" t="s">
        <v>223</v>
      </c>
      <c r="D258" s="154" t="s">
        <v>430</v>
      </c>
      <c r="E258" s="188">
        <v>1439.55</v>
      </c>
      <c r="F258" s="190"/>
      <c r="G258" s="190"/>
    </row>
    <row r="259" spans="1:7" ht="24" customHeight="1">
      <c r="A259" s="192" t="s">
        <v>431</v>
      </c>
      <c r="B259" s="188">
        <v>7</v>
      </c>
      <c r="C259" s="188" t="s">
        <v>233</v>
      </c>
      <c r="D259" s="154" t="s">
        <v>432</v>
      </c>
      <c r="E259" s="188">
        <v>735</v>
      </c>
      <c r="F259" s="190"/>
      <c r="G259" s="190"/>
    </row>
    <row r="260" spans="1:7" ht="24" customHeight="1">
      <c r="A260" s="192" t="s">
        <v>433</v>
      </c>
      <c r="B260" s="188">
        <v>10</v>
      </c>
      <c r="C260" s="188" t="s">
        <v>229</v>
      </c>
      <c r="D260" s="256" t="s">
        <v>434</v>
      </c>
      <c r="E260" s="188">
        <v>579.7</v>
      </c>
      <c r="F260" s="190"/>
      <c r="G260" s="190"/>
    </row>
    <row r="261" spans="1:7" ht="17.25" customHeight="1">
      <c r="A261" s="45"/>
      <c r="B261" s="228">
        <f>SUM(B257:B260)</f>
        <v>55</v>
      </c>
      <c r="C261" s="228"/>
      <c r="D261" s="228"/>
      <c r="E261" s="228">
        <f>SUM(E257:E260)</f>
        <v>3921.3499999999995</v>
      </c>
      <c r="F261" s="190"/>
      <c r="G261" s="190"/>
    </row>
    <row r="262" spans="1:7" ht="17.25" customHeight="1">
      <c r="A262" s="310" t="s">
        <v>222</v>
      </c>
      <c r="B262" s="311"/>
      <c r="C262" s="312"/>
      <c r="D262" s="45"/>
      <c r="E262" s="44"/>
      <c r="F262" s="190"/>
      <c r="G262" s="190"/>
    </row>
    <row r="263" spans="1:7" ht="17.25" customHeight="1">
      <c r="A263" s="192" t="s">
        <v>435</v>
      </c>
      <c r="B263" s="188">
        <v>18</v>
      </c>
      <c r="C263" s="154" t="s">
        <v>229</v>
      </c>
      <c r="D263" s="154" t="s">
        <v>436</v>
      </c>
      <c r="E263" s="188">
        <v>1075</v>
      </c>
      <c r="F263" s="190"/>
      <c r="G263" s="190"/>
    </row>
    <row r="264" spans="1:7" ht="17.25" customHeight="1">
      <c r="A264" s="192" t="s">
        <v>437</v>
      </c>
      <c r="B264" s="188">
        <v>8</v>
      </c>
      <c r="C264" s="260" t="s">
        <v>438</v>
      </c>
      <c r="D264" s="232" t="s">
        <v>439</v>
      </c>
      <c r="E264" s="232">
        <v>1046.4</v>
      </c>
      <c r="F264" s="190"/>
      <c r="G264" s="190"/>
    </row>
    <row r="265" spans="1:7" ht="17.25" customHeight="1">
      <c r="A265" s="192" t="s">
        <v>440</v>
      </c>
      <c r="B265" s="191">
        <v>3</v>
      </c>
      <c r="C265" s="166" t="s">
        <v>251</v>
      </c>
      <c r="D265" s="232" t="s">
        <v>441</v>
      </c>
      <c r="E265" s="191">
        <v>790</v>
      </c>
      <c r="F265" s="190"/>
      <c r="G265" s="190"/>
    </row>
    <row r="266" spans="1:7" ht="17.25" customHeight="1">
      <c r="A266" s="192" t="s">
        <v>442</v>
      </c>
      <c r="B266" s="191">
        <v>2</v>
      </c>
      <c r="C266" s="166" t="s">
        <v>238</v>
      </c>
      <c r="D266" s="232" t="s">
        <v>443</v>
      </c>
      <c r="E266" s="191">
        <v>185</v>
      </c>
      <c r="F266" s="190"/>
      <c r="G266" s="190"/>
    </row>
    <row r="267" spans="1:7" ht="17.25" customHeight="1">
      <c r="A267" s="192" t="s">
        <v>444</v>
      </c>
      <c r="B267" s="188">
        <v>20</v>
      </c>
      <c r="C267" s="154" t="s">
        <v>223</v>
      </c>
      <c r="D267" s="154" t="s">
        <v>445</v>
      </c>
      <c r="E267" s="188">
        <v>1218</v>
      </c>
      <c r="F267" s="190"/>
      <c r="G267" s="190"/>
    </row>
    <row r="268" spans="1:7" ht="17.25" customHeight="1">
      <c r="A268" s="192" t="s">
        <v>446</v>
      </c>
      <c r="B268" s="188">
        <v>1</v>
      </c>
      <c r="C268" s="154" t="s">
        <v>243</v>
      </c>
      <c r="D268" s="154" t="s">
        <v>447</v>
      </c>
      <c r="E268" s="188">
        <v>75</v>
      </c>
      <c r="F268" s="190"/>
      <c r="G268" s="190"/>
    </row>
    <row r="269" spans="1:7" ht="17.25" customHeight="1">
      <c r="A269" s="192" t="s">
        <v>448</v>
      </c>
      <c r="B269" s="188">
        <v>6</v>
      </c>
      <c r="C269" s="154" t="s">
        <v>453</v>
      </c>
      <c r="D269" s="154" t="s">
        <v>449</v>
      </c>
      <c r="E269" s="188">
        <v>366</v>
      </c>
      <c r="F269" s="190"/>
      <c r="G269" s="190"/>
    </row>
    <row r="270" spans="1:7" ht="17.25" customHeight="1">
      <c r="A270" s="192" t="s">
        <v>450</v>
      </c>
      <c r="B270" s="188">
        <v>8</v>
      </c>
      <c r="C270" s="154" t="s">
        <v>451</v>
      </c>
      <c r="D270" s="154" t="s">
        <v>452</v>
      </c>
      <c r="E270" s="188">
        <v>345</v>
      </c>
      <c r="F270" s="190"/>
      <c r="G270" s="190"/>
    </row>
    <row r="271" spans="1:7" ht="17.25" customHeight="1">
      <c r="A271" s="45"/>
      <c r="B271" s="228">
        <f>SUM(B263:B270)</f>
        <v>66</v>
      </c>
      <c r="C271" s="228"/>
      <c r="D271" s="228"/>
      <c r="E271" s="229">
        <f>SUM(E263:E270)</f>
        <v>5100.4</v>
      </c>
      <c r="F271" s="190"/>
      <c r="G271" s="190"/>
    </row>
    <row r="272" spans="1:7" ht="17.25" customHeight="1">
      <c r="A272" s="228" t="s">
        <v>14</v>
      </c>
      <c r="B272" s="180">
        <f>B261+B271</f>
        <v>121</v>
      </c>
      <c r="C272" s="180"/>
      <c r="D272" s="180"/>
      <c r="E272" s="180">
        <f>E261+E271</f>
        <v>9021.75</v>
      </c>
      <c r="F272" s="190"/>
      <c r="G272" s="190"/>
    </row>
    <row r="273" spans="1:7" ht="17.25" customHeight="1">
      <c r="A273" s="259"/>
      <c r="B273" s="181"/>
      <c r="C273" s="182"/>
      <c r="D273" s="180"/>
      <c r="E273" s="180"/>
      <c r="F273" s="190"/>
      <c r="G273" s="190"/>
    </row>
    <row r="274" spans="1:7" ht="28.5" customHeight="1">
      <c r="A274" s="308" t="s">
        <v>469</v>
      </c>
      <c r="B274" s="309"/>
      <c r="C274" s="309"/>
      <c r="D274" s="309"/>
      <c r="E274" s="309"/>
      <c r="F274" s="190"/>
      <c r="G274" s="190"/>
    </row>
    <row r="275" spans="1:7" ht="17.25" customHeight="1">
      <c r="A275" s="27" t="s">
        <v>217</v>
      </c>
      <c r="B275" s="27" t="s">
        <v>218</v>
      </c>
      <c r="C275" s="27" t="s">
        <v>219</v>
      </c>
      <c r="D275" s="27" t="s">
        <v>220</v>
      </c>
      <c r="E275" s="110" t="s">
        <v>221</v>
      </c>
      <c r="F275" s="190"/>
      <c r="G275" s="190"/>
    </row>
    <row r="276" spans="1:7" ht="17.25" customHeight="1">
      <c r="A276" s="310" t="s">
        <v>228</v>
      </c>
      <c r="B276" s="311"/>
      <c r="C276" s="312"/>
      <c r="D276" s="45"/>
      <c r="E276" s="44"/>
      <c r="F276" s="190"/>
      <c r="G276" s="190"/>
    </row>
    <row r="277" spans="1:7" ht="17.25" customHeight="1">
      <c r="A277" s="267">
        <v>760</v>
      </c>
      <c r="B277" s="154">
        <v>1</v>
      </c>
      <c r="C277" s="154" t="s">
        <v>230</v>
      </c>
      <c r="D277" s="154" t="s">
        <v>455</v>
      </c>
      <c r="E277" s="154">
        <v>70</v>
      </c>
      <c r="F277" s="190"/>
      <c r="G277" s="190"/>
    </row>
    <row r="278" spans="1:7" ht="17.25" customHeight="1">
      <c r="A278" s="166">
        <v>761</v>
      </c>
      <c r="B278" s="154">
        <v>5</v>
      </c>
      <c r="C278" s="154" t="s">
        <v>233</v>
      </c>
      <c r="D278" s="154" t="s">
        <v>456</v>
      </c>
      <c r="E278" s="154">
        <v>519</v>
      </c>
      <c r="F278" s="190"/>
      <c r="G278" s="190"/>
    </row>
    <row r="279" spans="1:7" ht="17.25" customHeight="1">
      <c r="A279" s="45"/>
      <c r="B279" s="257">
        <f>SUM(B277:B278)</f>
        <v>6</v>
      </c>
      <c r="C279" s="257"/>
      <c r="D279" s="257"/>
      <c r="E279" s="257">
        <f>SUM(E277:E278)</f>
        <v>589</v>
      </c>
      <c r="F279" s="190"/>
      <c r="G279" s="190"/>
    </row>
    <row r="280" spans="1:7" ht="17.25" customHeight="1">
      <c r="A280" s="310" t="s">
        <v>222</v>
      </c>
      <c r="B280" s="311"/>
      <c r="C280" s="312"/>
      <c r="D280" s="45"/>
      <c r="E280" s="44"/>
      <c r="F280" s="190"/>
      <c r="G280" s="190"/>
    </row>
    <row r="281" spans="1:7" ht="27" customHeight="1">
      <c r="A281" s="166">
        <v>764</v>
      </c>
      <c r="B281" s="191">
        <v>20</v>
      </c>
      <c r="C281" s="192" t="s">
        <v>438</v>
      </c>
      <c r="D281" s="265" t="s">
        <v>458</v>
      </c>
      <c r="E281" s="258">
        <v>2158</v>
      </c>
      <c r="F281" s="190"/>
      <c r="G281" s="190"/>
    </row>
    <row r="282" spans="1:7" ht="17.25" customHeight="1">
      <c r="A282" s="268">
        <v>762</v>
      </c>
      <c r="B282" s="266">
        <v>8</v>
      </c>
      <c r="C282" s="266" t="s">
        <v>223</v>
      </c>
      <c r="D282" s="154" t="s">
        <v>452</v>
      </c>
      <c r="E282" s="266">
        <v>583</v>
      </c>
      <c r="F282" s="190"/>
      <c r="G282" s="190"/>
    </row>
    <row r="283" spans="1:7" ht="17.25" customHeight="1">
      <c r="A283" s="268">
        <v>763</v>
      </c>
      <c r="B283" s="266">
        <v>2</v>
      </c>
      <c r="C283" s="266" t="s">
        <v>243</v>
      </c>
      <c r="D283" s="154" t="s">
        <v>457</v>
      </c>
      <c r="E283" s="266">
        <v>162</v>
      </c>
      <c r="F283" s="190"/>
      <c r="G283" s="190"/>
    </row>
    <row r="284" spans="1:7" ht="17.25" customHeight="1">
      <c r="A284" s="45"/>
      <c r="B284" s="257">
        <f>SUM(B281:B283)</f>
        <v>30</v>
      </c>
      <c r="C284" s="257"/>
      <c r="D284" s="257"/>
      <c r="E284" s="259">
        <f>SUM(E281:E283)</f>
        <v>2903</v>
      </c>
      <c r="F284" s="190"/>
      <c r="G284" s="190"/>
    </row>
    <row r="285" spans="1:7" ht="17.25" customHeight="1">
      <c r="A285" s="257" t="s">
        <v>14</v>
      </c>
      <c r="B285" s="180">
        <f>B279+B284</f>
        <v>36</v>
      </c>
      <c r="C285" s="180"/>
      <c r="D285" s="180"/>
      <c r="E285" s="180">
        <f>E279+E284</f>
        <v>3492</v>
      </c>
      <c r="F285" s="190"/>
      <c r="G285" s="190"/>
    </row>
    <row r="286" spans="1:7" ht="17.25" customHeight="1">
      <c r="A286" s="259"/>
      <c r="B286" s="181"/>
      <c r="C286" s="182"/>
      <c r="D286" s="180"/>
      <c r="E286" s="180"/>
      <c r="F286" s="190"/>
      <c r="G286" s="190"/>
    </row>
    <row r="287" spans="1:7" ht="26.25" customHeight="1">
      <c r="A287" s="308" t="s">
        <v>470</v>
      </c>
      <c r="B287" s="309"/>
      <c r="C287" s="309"/>
      <c r="D287" s="309"/>
      <c r="E287" s="309"/>
      <c r="F287" s="190"/>
      <c r="G287" s="190"/>
    </row>
    <row r="288" spans="1:7" ht="17.25" customHeight="1">
      <c r="A288" s="27" t="s">
        <v>217</v>
      </c>
      <c r="B288" s="27" t="s">
        <v>218</v>
      </c>
      <c r="C288" s="27" t="s">
        <v>219</v>
      </c>
      <c r="D288" s="27" t="s">
        <v>220</v>
      </c>
      <c r="E288" s="110" t="s">
        <v>221</v>
      </c>
      <c r="F288" s="190"/>
      <c r="G288" s="190"/>
    </row>
    <row r="289" spans="1:7" ht="17.25" customHeight="1">
      <c r="A289" s="310" t="s">
        <v>228</v>
      </c>
      <c r="B289" s="311"/>
      <c r="C289" s="312"/>
      <c r="D289" s="45"/>
      <c r="E289" s="44"/>
      <c r="F289" s="190"/>
      <c r="G289" s="190"/>
    </row>
    <row r="290" spans="1:7" ht="17.25" customHeight="1">
      <c r="A290" s="276">
        <v>434</v>
      </c>
      <c r="B290" s="269">
        <v>5</v>
      </c>
      <c r="C290" s="269" t="s">
        <v>233</v>
      </c>
      <c r="D290" s="270" t="s">
        <v>459</v>
      </c>
      <c r="E290" s="269">
        <v>540</v>
      </c>
      <c r="F290" s="190"/>
      <c r="G290" s="190"/>
    </row>
    <row r="291" spans="1:7" ht="17.25" customHeight="1">
      <c r="A291" s="276">
        <v>434</v>
      </c>
      <c r="B291" s="269">
        <v>1</v>
      </c>
      <c r="C291" s="269" t="s">
        <v>230</v>
      </c>
      <c r="D291" s="272" t="s">
        <v>460</v>
      </c>
      <c r="E291" s="269">
        <v>85</v>
      </c>
      <c r="F291" s="190"/>
      <c r="G291" s="190"/>
    </row>
    <row r="292" spans="1:7" ht="17.25" customHeight="1">
      <c r="A292" s="45"/>
      <c r="B292" s="257">
        <f>SUM(B290:B291)</f>
        <v>6</v>
      </c>
      <c r="C292" s="257"/>
      <c r="D292" s="257"/>
      <c r="E292" s="257">
        <f>SUM(E290:E291)</f>
        <v>625</v>
      </c>
      <c r="F292" s="190"/>
      <c r="G292" s="190"/>
    </row>
    <row r="293" spans="1:7" ht="17.25" customHeight="1">
      <c r="A293" s="310" t="s">
        <v>222</v>
      </c>
      <c r="B293" s="311"/>
      <c r="C293" s="312"/>
      <c r="D293" s="45"/>
      <c r="E293" s="44"/>
      <c r="F293" s="190"/>
      <c r="G293" s="190"/>
    </row>
    <row r="294" spans="1:7" ht="17.25" customHeight="1">
      <c r="A294" s="273">
        <v>436</v>
      </c>
      <c r="B294" s="264">
        <v>1</v>
      </c>
      <c r="C294" s="273" t="s">
        <v>238</v>
      </c>
      <c r="D294" s="264" t="s">
        <v>461</v>
      </c>
      <c r="E294" s="264">
        <v>124</v>
      </c>
      <c r="F294" s="190"/>
      <c r="G294" s="190"/>
    </row>
    <row r="295" spans="1:7" ht="17.25" customHeight="1">
      <c r="A295" s="276">
        <v>435</v>
      </c>
      <c r="B295" s="269">
        <v>1</v>
      </c>
      <c r="C295" s="269" t="s">
        <v>230</v>
      </c>
      <c r="D295" s="154" t="s">
        <v>447</v>
      </c>
      <c r="E295" s="271">
        <v>60</v>
      </c>
      <c r="F295" s="190"/>
      <c r="G295" s="190"/>
    </row>
    <row r="296" spans="1:7" ht="17.25" customHeight="1">
      <c r="A296" s="273">
        <v>435</v>
      </c>
      <c r="B296" s="264">
        <v>5</v>
      </c>
      <c r="C296" s="264" t="s">
        <v>233</v>
      </c>
      <c r="D296" s="154" t="s">
        <v>463</v>
      </c>
      <c r="E296" s="264">
        <v>450</v>
      </c>
      <c r="F296" s="190"/>
      <c r="G296" s="190"/>
    </row>
    <row r="297" spans="1:7" ht="17.25" customHeight="1">
      <c r="A297" s="273">
        <v>435</v>
      </c>
      <c r="B297" s="264">
        <v>2</v>
      </c>
      <c r="C297" s="273" t="s">
        <v>238</v>
      </c>
      <c r="D297" s="264" t="s">
        <v>462</v>
      </c>
      <c r="E297" s="264">
        <v>225</v>
      </c>
      <c r="F297" s="190"/>
      <c r="G297" s="190"/>
    </row>
    <row r="298" spans="1:7" ht="17.25" customHeight="1">
      <c r="A298" s="45"/>
      <c r="B298" s="257">
        <f>SUM(B294:B297)</f>
        <v>9</v>
      </c>
      <c r="C298" s="257"/>
      <c r="D298" s="257"/>
      <c r="E298" s="259">
        <f>SUM(E294:E297)</f>
        <v>859</v>
      </c>
      <c r="F298" s="190"/>
      <c r="G298" s="190"/>
    </row>
    <row r="299" spans="1:7" ht="17.25" customHeight="1">
      <c r="A299" s="257" t="s">
        <v>14</v>
      </c>
      <c r="B299" s="180">
        <f>B292+B298</f>
        <v>15</v>
      </c>
      <c r="C299" s="180"/>
      <c r="D299" s="180"/>
      <c r="E299" s="180">
        <f>E292+E298</f>
        <v>1484</v>
      </c>
      <c r="F299" s="190"/>
      <c r="G299" s="190"/>
    </row>
    <row r="300" spans="1:7" ht="17.25" customHeight="1">
      <c r="A300" s="259"/>
      <c r="B300" s="181"/>
      <c r="C300" s="182"/>
      <c r="D300" s="180"/>
      <c r="E300" s="180"/>
      <c r="F300" s="190"/>
      <c r="G300" s="190"/>
    </row>
    <row r="301" spans="1:7" ht="27" customHeight="1">
      <c r="A301" s="308" t="s">
        <v>471</v>
      </c>
      <c r="B301" s="309"/>
      <c r="C301" s="309"/>
      <c r="D301" s="309"/>
      <c r="E301" s="309"/>
      <c r="F301" s="190"/>
      <c r="G301" s="190"/>
    </row>
    <row r="302" spans="1:7" ht="23.25" customHeight="1">
      <c r="A302" s="27" t="s">
        <v>217</v>
      </c>
      <c r="B302" s="27" t="s">
        <v>218</v>
      </c>
      <c r="C302" s="27" t="s">
        <v>219</v>
      </c>
      <c r="D302" s="27" t="s">
        <v>220</v>
      </c>
      <c r="E302" s="110" t="s">
        <v>221</v>
      </c>
      <c r="F302" s="190"/>
      <c r="G302" s="190"/>
    </row>
    <row r="303" spans="1:7" ht="17.25" customHeight="1">
      <c r="A303" s="310" t="s">
        <v>228</v>
      </c>
      <c r="B303" s="311"/>
      <c r="C303" s="312"/>
      <c r="D303" s="45"/>
      <c r="E303" s="44"/>
      <c r="F303" s="190"/>
      <c r="G303" s="190"/>
    </row>
    <row r="304" spans="1:7" ht="17.25" customHeight="1">
      <c r="A304" s="166">
        <v>1002</v>
      </c>
      <c r="B304" s="262">
        <v>4</v>
      </c>
      <c r="C304" s="262" t="s">
        <v>243</v>
      </c>
      <c r="D304" s="258" t="s">
        <v>464</v>
      </c>
      <c r="E304" s="154">
        <v>426</v>
      </c>
      <c r="F304" s="190"/>
      <c r="G304" s="190"/>
    </row>
    <row r="305" spans="1:7" ht="17.25" customHeight="1">
      <c r="A305" s="166">
        <v>1006</v>
      </c>
      <c r="B305" s="262">
        <v>1</v>
      </c>
      <c r="C305" s="262" t="s">
        <v>223</v>
      </c>
      <c r="D305" s="258" t="s">
        <v>465</v>
      </c>
      <c r="E305" s="154">
        <v>72</v>
      </c>
      <c r="F305" s="190"/>
      <c r="G305" s="190"/>
    </row>
    <row r="306" spans="1:7" ht="17.25" customHeight="1">
      <c r="A306" s="166">
        <v>1007</v>
      </c>
      <c r="B306" s="262">
        <v>2</v>
      </c>
      <c r="C306" s="262" t="s">
        <v>243</v>
      </c>
      <c r="D306" s="258" t="s">
        <v>466</v>
      </c>
      <c r="E306" s="154">
        <v>213</v>
      </c>
      <c r="F306" s="190"/>
      <c r="G306" s="190"/>
    </row>
    <row r="307" spans="1:7" ht="17.25" customHeight="1">
      <c r="A307" s="45"/>
      <c r="B307" s="261">
        <f>SUM(B304:B306)</f>
        <v>7</v>
      </c>
      <c r="C307" s="261"/>
      <c r="D307" s="257"/>
      <c r="E307" s="257">
        <f>SUM(E304:E306)</f>
        <v>711</v>
      </c>
      <c r="F307" s="190"/>
      <c r="G307" s="190"/>
    </row>
    <row r="308" spans="1:7" ht="17.25" customHeight="1">
      <c r="A308" s="310" t="s">
        <v>222</v>
      </c>
      <c r="B308" s="311"/>
      <c r="C308" s="312"/>
      <c r="D308" s="45"/>
      <c r="E308" s="44"/>
      <c r="F308" s="190"/>
      <c r="G308" s="190"/>
    </row>
    <row r="309" spans="1:7" ht="17.25" customHeight="1">
      <c r="A309" s="267">
        <v>1003</v>
      </c>
      <c r="B309" s="274">
        <v>27</v>
      </c>
      <c r="C309" s="165" t="s">
        <v>223</v>
      </c>
      <c r="D309" s="154" t="s">
        <v>467</v>
      </c>
      <c r="E309" s="275">
        <v>2471</v>
      </c>
      <c r="F309" s="190"/>
      <c r="G309" s="277"/>
    </row>
    <row r="310" spans="1:7" ht="17.25" customHeight="1">
      <c r="A310" s="267">
        <v>1004</v>
      </c>
      <c r="B310" s="274">
        <v>3</v>
      </c>
      <c r="C310" s="165" t="s">
        <v>223</v>
      </c>
      <c r="D310" s="154" t="s">
        <v>468</v>
      </c>
      <c r="E310" s="275">
        <v>264</v>
      </c>
      <c r="F310" s="190"/>
      <c r="G310" s="190"/>
    </row>
    <row r="311" spans="1:7" ht="17.25" customHeight="1">
      <c r="A311" s="267">
        <v>1005</v>
      </c>
      <c r="B311" s="274">
        <v>1</v>
      </c>
      <c r="C311" s="165" t="s">
        <v>233</v>
      </c>
      <c r="D311" s="154" t="s">
        <v>447</v>
      </c>
      <c r="E311" s="275">
        <v>100</v>
      </c>
      <c r="F311" s="190"/>
      <c r="G311" s="190"/>
    </row>
    <row r="312" spans="1:7" ht="17.25" customHeight="1">
      <c r="A312" s="267">
        <v>1009</v>
      </c>
      <c r="B312" s="274">
        <v>8</v>
      </c>
      <c r="C312" s="165" t="s">
        <v>223</v>
      </c>
      <c r="D312" s="154" t="s">
        <v>452</v>
      </c>
      <c r="E312" s="275">
        <v>734</v>
      </c>
      <c r="F312" s="190"/>
      <c r="G312" s="190"/>
    </row>
    <row r="313" spans="1:7" ht="17.25" customHeight="1">
      <c r="A313" s="267">
        <v>1010</v>
      </c>
      <c r="B313" s="274">
        <v>3</v>
      </c>
      <c r="C313" s="165" t="s">
        <v>223</v>
      </c>
      <c r="D313" s="154" t="s">
        <v>468</v>
      </c>
      <c r="E313" s="275">
        <v>254</v>
      </c>
      <c r="F313" s="190"/>
      <c r="G313" s="190"/>
    </row>
    <row r="314" spans="1:7" ht="17.25" customHeight="1">
      <c r="A314" s="267">
        <v>1011</v>
      </c>
      <c r="B314" s="274">
        <v>1</v>
      </c>
      <c r="C314" s="165" t="s">
        <v>243</v>
      </c>
      <c r="D314" s="154" t="s">
        <v>447</v>
      </c>
      <c r="E314" s="275">
        <v>100</v>
      </c>
      <c r="F314" s="190"/>
      <c r="G314" s="190"/>
    </row>
    <row r="315" spans="1:7" ht="17.25" customHeight="1">
      <c r="A315" s="45"/>
      <c r="B315" s="261">
        <f>SUM(B309:B314)</f>
        <v>43</v>
      </c>
      <c r="C315" s="261"/>
      <c r="D315" s="257"/>
      <c r="E315" s="259">
        <f>SUM(E309:E314)</f>
        <v>3923</v>
      </c>
      <c r="F315" s="190"/>
      <c r="G315" s="190"/>
    </row>
    <row r="316" spans="1:7" ht="17.25" customHeight="1">
      <c r="A316" s="310" t="s">
        <v>235</v>
      </c>
      <c r="B316" s="311"/>
      <c r="C316" s="312"/>
      <c r="D316" s="257"/>
      <c r="E316" s="259"/>
      <c r="F316" s="190"/>
      <c r="G316" s="190"/>
    </row>
    <row r="317" spans="1:7" ht="17.25" customHeight="1">
      <c r="A317" s="267">
        <v>1008</v>
      </c>
      <c r="B317" s="274">
        <v>1</v>
      </c>
      <c r="C317" s="165" t="s">
        <v>223</v>
      </c>
      <c r="D317" s="154" t="s">
        <v>447</v>
      </c>
      <c r="E317" s="275">
        <v>45</v>
      </c>
      <c r="F317" s="190"/>
      <c r="G317" s="190"/>
    </row>
    <row r="318" spans="1:7" ht="17.25" customHeight="1">
      <c r="A318" s="45"/>
      <c r="B318" s="257">
        <f>B317</f>
        <v>1</v>
      </c>
      <c r="C318" s="257"/>
      <c r="D318" s="257"/>
      <c r="E318" s="257">
        <f>E317</f>
        <v>45</v>
      </c>
      <c r="F318" s="190"/>
      <c r="G318" s="190"/>
    </row>
    <row r="319" spans="1:7" ht="17.25" customHeight="1">
      <c r="A319" s="257" t="s">
        <v>14</v>
      </c>
      <c r="B319" s="180">
        <f>B307+B315+B318</f>
        <v>51</v>
      </c>
      <c r="C319" s="180"/>
      <c r="D319" s="180"/>
      <c r="E319" s="180">
        <f>E307+E315+E318</f>
        <v>4679</v>
      </c>
      <c r="F319" s="190"/>
      <c r="G319" s="190"/>
    </row>
    <row r="320" spans="1:7" ht="17.25" customHeight="1">
      <c r="A320" s="284"/>
      <c r="B320" s="181"/>
      <c r="C320" s="182"/>
      <c r="D320" s="180"/>
      <c r="E320" s="180"/>
      <c r="F320" s="190"/>
      <c r="G320" s="190"/>
    </row>
    <row r="321" spans="1:7" ht="25.5" customHeight="1">
      <c r="A321" s="308" t="s">
        <v>501</v>
      </c>
      <c r="B321" s="309"/>
      <c r="C321" s="309"/>
      <c r="D321" s="309"/>
      <c r="E321" s="309"/>
      <c r="F321" s="190"/>
      <c r="G321" s="190"/>
    </row>
    <row r="322" spans="1:7" ht="22.5" customHeight="1">
      <c r="A322" s="27" t="s">
        <v>217</v>
      </c>
      <c r="B322" s="27" t="s">
        <v>218</v>
      </c>
      <c r="C322" s="27" t="s">
        <v>219</v>
      </c>
      <c r="D322" s="27" t="s">
        <v>220</v>
      </c>
      <c r="E322" s="110" t="s">
        <v>221</v>
      </c>
      <c r="F322" s="190"/>
      <c r="G322" s="190"/>
    </row>
    <row r="323" spans="1:7" ht="17.25" customHeight="1">
      <c r="A323" s="310" t="s">
        <v>228</v>
      </c>
      <c r="B323" s="311"/>
      <c r="C323" s="312"/>
      <c r="D323" s="45"/>
      <c r="E323" s="44"/>
      <c r="F323" s="190"/>
      <c r="G323" s="190"/>
    </row>
    <row r="324" spans="1:7" ht="17.25" customHeight="1">
      <c r="A324" s="267" t="s">
        <v>517</v>
      </c>
      <c r="B324" s="302">
        <v>5</v>
      </c>
      <c r="C324" s="302" t="s">
        <v>229</v>
      </c>
      <c r="D324" s="302" t="s">
        <v>494</v>
      </c>
      <c r="E324" s="275">
        <v>303</v>
      </c>
      <c r="F324" s="190"/>
      <c r="G324" s="190"/>
    </row>
    <row r="325" spans="1:7" ht="17.25" customHeight="1">
      <c r="A325" s="166" t="s">
        <v>518</v>
      </c>
      <c r="B325" s="154">
        <v>12</v>
      </c>
      <c r="C325" s="154" t="s">
        <v>230</v>
      </c>
      <c r="D325" s="154" t="s">
        <v>495</v>
      </c>
      <c r="E325" s="154">
        <v>941</v>
      </c>
      <c r="F325" s="190"/>
      <c r="G325" s="190"/>
    </row>
    <row r="326" spans="1:7" ht="17.25" customHeight="1">
      <c r="A326" s="166" t="s">
        <v>519</v>
      </c>
      <c r="B326" s="154">
        <v>4</v>
      </c>
      <c r="C326" s="154" t="s">
        <v>233</v>
      </c>
      <c r="D326" s="154" t="s">
        <v>502</v>
      </c>
      <c r="E326" s="154">
        <v>422</v>
      </c>
      <c r="F326" s="190"/>
      <c r="G326" s="190"/>
    </row>
    <row r="327" spans="1:7" ht="17.25" customHeight="1">
      <c r="A327" s="45"/>
      <c r="B327" s="286">
        <f>SUM(B324:B326)</f>
        <v>21</v>
      </c>
      <c r="C327" s="286"/>
      <c r="D327" s="286"/>
      <c r="E327" s="286">
        <f>SUM(E324:E326)</f>
        <v>1666</v>
      </c>
      <c r="F327" s="190"/>
      <c r="G327" s="190"/>
    </row>
    <row r="328" spans="1:7" ht="17.25" customHeight="1">
      <c r="A328" s="310" t="s">
        <v>222</v>
      </c>
      <c r="B328" s="311"/>
      <c r="C328" s="312"/>
      <c r="D328" s="45"/>
      <c r="E328" s="44"/>
      <c r="F328" s="190"/>
      <c r="G328" s="190"/>
    </row>
    <row r="329" spans="1:7" ht="17.25" customHeight="1">
      <c r="A329" s="267" t="s">
        <v>520</v>
      </c>
      <c r="B329" s="302">
        <v>11</v>
      </c>
      <c r="C329" s="275" t="s">
        <v>229</v>
      </c>
      <c r="D329" s="302" t="s">
        <v>496</v>
      </c>
      <c r="E329" s="275">
        <v>562</v>
      </c>
      <c r="F329" s="190"/>
      <c r="G329" s="190"/>
    </row>
    <row r="330" spans="1:7" ht="17.25" customHeight="1">
      <c r="A330" s="166" t="s">
        <v>525</v>
      </c>
      <c r="B330" s="154">
        <v>4</v>
      </c>
      <c r="C330" s="166" t="s">
        <v>247</v>
      </c>
      <c r="D330" s="154" t="s">
        <v>497</v>
      </c>
      <c r="E330" s="154">
        <v>882</v>
      </c>
      <c r="F330" s="190"/>
      <c r="G330" s="190"/>
    </row>
    <row r="331" spans="1:7" ht="17.25" customHeight="1">
      <c r="A331" s="166" t="s">
        <v>522</v>
      </c>
      <c r="B331" s="154">
        <v>3</v>
      </c>
      <c r="C331" s="166" t="s">
        <v>251</v>
      </c>
      <c r="D331" s="154" t="s">
        <v>498</v>
      </c>
      <c r="E331" s="154">
        <v>865</v>
      </c>
      <c r="F331" s="190"/>
      <c r="G331" s="190"/>
    </row>
    <row r="332" spans="1:7" ht="17.25" customHeight="1">
      <c r="A332" s="166" t="s">
        <v>523</v>
      </c>
      <c r="B332" s="154">
        <v>2</v>
      </c>
      <c r="C332" s="154" t="s">
        <v>229</v>
      </c>
      <c r="D332" s="154" t="s">
        <v>503</v>
      </c>
      <c r="E332" s="154">
        <v>105</v>
      </c>
      <c r="F332" s="190"/>
      <c r="G332" s="190"/>
    </row>
    <row r="333" spans="1:7" ht="17.25" customHeight="1">
      <c r="A333" s="166" t="s">
        <v>524</v>
      </c>
      <c r="B333" s="154">
        <v>2</v>
      </c>
      <c r="C333" s="154" t="s">
        <v>230</v>
      </c>
      <c r="D333" s="154" t="s">
        <v>504</v>
      </c>
      <c r="E333" s="154">
        <v>122</v>
      </c>
      <c r="F333" s="190"/>
      <c r="G333" s="190"/>
    </row>
    <row r="334" spans="1:7" ht="17.25" customHeight="1">
      <c r="A334" s="45"/>
      <c r="B334" s="286">
        <f>SUM(B329:B333)</f>
        <v>22</v>
      </c>
      <c r="C334" s="286"/>
      <c r="D334" s="286"/>
      <c r="E334" s="284">
        <f>SUM(E329:E333)</f>
        <v>2536</v>
      </c>
      <c r="F334" s="190"/>
      <c r="G334" s="190"/>
    </row>
    <row r="335" spans="1:7" ht="17.25" customHeight="1">
      <c r="A335" s="310" t="s">
        <v>234</v>
      </c>
      <c r="B335" s="311"/>
      <c r="C335" s="312"/>
      <c r="D335" s="286"/>
      <c r="E335" s="284"/>
      <c r="F335" s="190"/>
      <c r="G335" s="190"/>
    </row>
    <row r="336" spans="1:7" ht="17.25" customHeight="1">
      <c r="A336" s="166" t="s">
        <v>521</v>
      </c>
      <c r="B336" s="188">
        <v>3</v>
      </c>
      <c r="C336" s="188" t="s">
        <v>230</v>
      </c>
      <c r="D336" s="188" t="s">
        <v>500</v>
      </c>
      <c r="E336" s="154">
        <v>164</v>
      </c>
      <c r="F336" s="190"/>
      <c r="G336" s="190"/>
    </row>
    <row r="337" spans="1:7" ht="17.25" customHeight="1">
      <c r="A337" s="45"/>
      <c r="B337" s="286">
        <f>B336</f>
        <v>3</v>
      </c>
      <c r="C337" s="286"/>
      <c r="D337" s="286"/>
      <c r="E337" s="286">
        <f>E336</f>
        <v>164</v>
      </c>
      <c r="F337" s="190"/>
      <c r="G337" s="190"/>
    </row>
    <row r="338" spans="1:7" ht="17.25" customHeight="1">
      <c r="A338" s="310" t="s">
        <v>235</v>
      </c>
      <c r="B338" s="311"/>
      <c r="C338" s="312"/>
      <c r="D338" s="286"/>
      <c r="E338" s="286"/>
      <c r="F338" s="190"/>
      <c r="G338" s="190"/>
    </row>
    <row r="339" spans="1:7" ht="17.25" customHeight="1">
      <c r="A339" s="166" t="s">
        <v>526</v>
      </c>
      <c r="B339" s="154">
        <v>1</v>
      </c>
      <c r="C339" s="154" t="s">
        <v>230</v>
      </c>
      <c r="D339" s="154" t="s">
        <v>499</v>
      </c>
      <c r="E339" s="154">
        <v>64</v>
      </c>
      <c r="F339" s="190"/>
      <c r="G339" s="190"/>
    </row>
    <row r="340" spans="1:7" ht="17.25" customHeight="1">
      <c r="A340" s="285"/>
      <c r="B340" s="287">
        <f>B339</f>
        <v>1</v>
      </c>
      <c r="C340" s="287"/>
      <c r="D340" s="287"/>
      <c r="E340" s="287">
        <f>E339</f>
        <v>64</v>
      </c>
      <c r="F340" s="190"/>
      <c r="G340" s="190"/>
    </row>
    <row r="341" spans="1:7" ht="17.25" customHeight="1">
      <c r="A341" s="286" t="s">
        <v>14</v>
      </c>
      <c r="B341" s="180">
        <f>B327+B334+B337+B340</f>
        <v>47</v>
      </c>
      <c r="C341" s="180"/>
      <c r="D341" s="180"/>
      <c r="E341" s="180">
        <f>E327+E334+E337+E340</f>
        <v>4430</v>
      </c>
      <c r="F341" s="190"/>
      <c r="G341" s="190"/>
    </row>
    <row r="342" spans="1:7" ht="17.25" customHeight="1">
      <c r="A342" s="284"/>
      <c r="B342" s="181"/>
      <c r="C342" s="182"/>
      <c r="D342" s="180"/>
      <c r="E342" s="180"/>
      <c r="F342" s="190"/>
      <c r="G342" s="190"/>
    </row>
    <row r="343" spans="1:8" s="2" customFormat="1" ht="21" customHeight="1">
      <c r="A343" s="340" t="s">
        <v>22</v>
      </c>
      <c r="B343" s="341"/>
      <c r="C343" s="342"/>
      <c r="D343" s="9"/>
      <c r="E343" s="11"/>
      <c r="H343" s="132"/>
    </row>
    <row r="344" spans="1:8" s="2" customFormat="1" ht="18" customHeight="1">
      <c r="A344" s="44"/>
      <c r="B344" s="184"/>
      <c r="C344" s="185"/>
      <c r="D344" s="48"/>
      <c r="E344" s="49">
        <f>SUM(E346:E349)</f>
        <v>3.54</v>
      </c>
      <c r="F344" s="227"/>
      <c r="H344" s="132"/>
    </row>
    <row r="345" spans="1:18" ht="17.25" customHeight="1">
      <c r="A345" s="45" t="s">
        <v>5</v>
      </c>
      <c r="B345" s="308" t="s">
        <v>17</v>
      </c>
      <c r="C345" s="326"/>
      <c r="D345" s="183" t="s">
        <v>18</v>
      </c>
      <c r="E345" s="45" t="s">
        <v>7</v>
      </c>
      <c r="G345" s="122" t="str">
        <f>CONCATENATE("Cable Scrap, Lying at ",B346,". Quantity in MT - ")</f>
        <v>Cable Scrap, Lying at CS Ferozepur. Quantity in MT - </v>
      </c>
      <c r="H345" s="325" t="str">
        <f ca="1">CONCATENATE(G345,G346,(INDIRECT(I346)),(INDIRECT(J346)),(INDIRECT(K346)),(INDIRECT(L346)),(INDIRECT(M346)),(INDIRECT(N346)),(INDIRECT(O346)),(INDIRECT(P346)),(INDIRECT(Q346)),(INDIRECT(R346)))</f>
        <v>Cable Scrap, Lying at CS Ferozepur. Quantity in MT - 2/core PVC Alumn. Cable scrap - 0.591, 4/core PVC Alumn. Cable scrap - 0.301, 1/ core XLPE Alu cable scrap - 0.136, 3/ core XLPE Alu cable scrap - 2.512, </v>
      </c>
      <c r="I345" s="129" t="str">
        <f aca="true" ca="1" t="array" ref="I345">CELL("address",INDEX(G345:G369,MATCH(TRUE,ISBLANK(G345:G369),0)))</f>
        <v>$G$350</v>
      </c>
      <c r="J345" s="129">
        <f aca="true" t="array" ref="J345">MATCH(TRUE,ISBLANK(G345:G369),0)</f>
        <v>6</v>
      </c>
      <c r="K345" s="129">
        <f>J345-3</f>
        <v>3</v>
      </c>
      <c r="L345" s="129"/>
      <c r="M345" s="129"/>
      <c r="N345" s="129"/>
      <c r="O345" s="129"/>
      <c r="P345" s="129"/>
      <c r="Q345" s="129"/>
      <c r="R345" s="129"/>
    </row>
    <row r="346" spans="1:18" ht="15" customHeight="1">
      <c r="A346" s="303" t="s">
        <v>35</v>
      </c>
      <c r="B346" s="303" t="s">
        <v>100</v>
      </c>
      <c r="C346" s="303"/>
      <c r="D346" s="50" t="s">
        <v>91</v>
      </c>
      <c r="E346" s="51">
        <v>0.591</v>
      </c>
      <c r="G346" s="120" t="str">
        <f>CONCATENATE(D346," - ",E346,", ")</f>
        <v>2/core PVC Alumn. Cable scrap - 0.591, </v>
      </c>
      <c r="H346" s="325"/>
      <c r="I346" s="129" t="str">
        <f ca="1">IF(J345&gt;=3,(MID(I345,2,1)&amp;MID(I345,4,3)-K345),CELL("address",Z346))</f>
        <v>G347</v>
      </c>
      <c r="J346" s="129" t="str">
        <f ca="1">IF(J345&gt;=4,(MID(I346,1,1)&amp;MID(I346,2,3)+1),CELL("address",AA346))</f>
        <v>G348</v>
      </c>
      <c r="K346" s="129" t="str">
        <f ca="1">IF(J345&gt;=5,(MID(J346,1,1)&amp;MID(J346,2,3)+1),CELL("address",AB346))</f>
        <v>G349</v>
      </c>
      <c r="L346" s="129" t="str">
        <f ca="1">IF(J345&gt;=6,(MID(K346,1,1)&amp;MID(K346,2,3)+1),CELL("address",AC346))</f>
        <v>G350</v>
      </c>
      <c r="M346" s="129" t="str">
        <f ca="1">IF(J345&gt;=7,(MID(L346,1,1)&amp;MID(L346,2,3)+1),CELL("address",AD346))</f>
        <v>$AD$346</v>
      </c>
      <c r="N346" s="129" t="str">
        <f ca="1">IF(J345&gt;=8,(MID(M346,1,1)&amp;MID(M346,2,3)+1),CELL("address",AE346))</f>
        <v>$AE$346</v>
      </c>
      <c r="O346" s="129" t="str">
        <f ca="1">IF(J345&gt;=9,(MID(N346,1,1)&amp;MID(N346,2,3)+1),CELL("address",AF346))</f>
        <v>$AF$346</v>
      </c>
      <c r="P346" s="129" t="str">
        <f ca="1">IF(J345&gt;=10,(MID(O346,1,1)&amp;MID(O346,2,3)+1),CELL("address",AG346))</f>
        <v>$AG$346</v>
      </c>
      <c r="Q346" s="129" t="str">
        <f ca="1">IF(J345&gt;=11,(MID(P346,1,1)&amp;MID(P346,2,3)+1),CELL("address",AH346))</f>
        <v>$AH$346</v>
      </c>
      <c r="R346" s="129" t="str">
        <f ca="1">IF(J345&gt;=12,(MID(Q346,1,1)&amp;MID(Q346,2,3)+1),CELL("address",AI346))</f>
        <v>$AI$346</v>
      </c>
    </row>
    <row r="347" spans="1:8" ht="15" customHeight="1">
      <c r="A347" s="303"/>
      <c r="B347" s="303"/>
      <c r="C347" s="303"/>
      <c r="D347" s="50" t="s">
        <v>92</v>
      </c>
      <c r="E347" s="51">
        <v>0.301</v>
      </c>
      <c r="G347" s="120" t="str">
        <f>CONCATENATE(D347," - ",E347,", ")</f>
        <v>4/core PVC Alumn. Cable scrap - 0.301, </v>
      </c>
      <c r="H347" s="133"/>
    </row>
    <row r="348" spans="1:8" ht="15" customHeight="1">
      <c r="A348" s="303"/>
      <c r="B348" s="303"/>
      <c r="C348" s="303"/>
      <c r="D348" s="50" t="s">
        <v>98</v>
      </c>
      <c r="E348" s="50">
        <v>0.136</v>
      </c>
      <c r="G348" s="120" t="str">
        <f>CONCATENATE(D348," - ",E348,", ")</f>
        <v>1/ core XLPE Alu cable scrap - 0.136, </v>
      </c>
      <c r="H348" s="133"/>
    </row>
    <row r="349" spans="1:8" ht="15" customHeight="1">
      <c r="A349" s="303"/>
      <c r="B349" s="303"/>
      <c r="C349" s="303"/>
      <c r="D349" s="50" t="s">
        <v>93</v>
      </c>
      <c r="E349" s="52">
        <v>2.512</v>
      </c>
      <c r="G349" s="120" t="str">
        <f>CONCATENATE(D349," - ",E349,", ")</f>
        <v>3/ core XLPE Alu cable scrap - 2.512, </v>
      </c>
      <c r="H349" s="133"/>
    </row>
    <row r="350" spans="1:8" ht="15" customHeight="1">
      <c r="A350" s="44"/>
      <c r="B350" s="53"/>
      <c r="C350" s="230"/>
      <c r="D350" s="38"/>
      <c r="E350" s="54"/>
      <c r="G350" s="120"/>
      <c r="H350" s="133"/>
    </row>
    <row r="351" spans="1:8" ht="15" customHeight="1">
      <c r="A351" s="45"/>
      <c r="B351" s="305"/>
      <c r="C351" s="306"/>
      <c r="D351" s="232"/>
      <c r="E351" s="58">
        <f>SUM(E353:E356)</f>
        <v>2.889</v>
      </c>
      <c r="G351" s="120"/>
      <c r="H351" s="133"/>
    </row>
    <row r="352" spans="1:18" ht="15" customHeight="1">
      <c r="A352" s="45" t="s">
        <v>5</v>
      </c>
      <c r="B352" s="303" t="s">
        <v>17</v>
      </c>
      <c r="C352" s="303"/>
      <c r="D352" s="228" t="s">
        <v>18</v>
      </c>
      <c r="E352" s="45" t="s">
        <v>7</v>
      </c>
      <c r="G352" s="122" t="str">
        <f>CONCATENATE("Cable Scrap, Lying at ",B353,". Quantity in MT - ")</f>
        <v>Cable Scrap, Lying at OL Shri Muktsar Sahib. Quantity in MT - </v>
      </c>
      <c r="H352" s="325" t="str">
        <f ca="1">CONCATENATE(G352,G353,(INDIRECT(I353)),(INDIRECT(J353)),(INDIRECT(K353)),(INDIRECT(L353)),(INDIRECT(M353)),(INDIRECT(N353)),(INDIRECT(O353)),(INDIRECT(P353)),(INDIRECT(Q353)),(INDIRECT(R353)),".")</f>
        <v>Cable Scrap, Lying at OL Shri Muktsar Sahib. Quantity in MT - 4/core PVC Alumn. Cable scrap - 0.509, 3/ core XLPE Alu cable scrap - 1.75, 1/core PVC Alumn. Cable scrap - 0.141, 2/core PVC Alumn. Cable scrap - 0.489, .</v>
      </c>
      <c r="I352" s="129" t="str">
        <f aca="true" ca="1" t="array" ref="I352">CELL("address",INDEX(G352:G380,MATCH(TRUE,ISBLANK(G352:G380),0)))</f>
        <v>$G$357</v>
      </c>
      <c r="J352" s="129">
        <f aca="true" t="array" ref="J352">MATCH(TRUE,ISBLANK(G352:G380),0)</f>
        <v>6</v>
      </c>
      <c r="K352" s="129">
        <f>J352-3</f>
        <v>3</v>
      </c>
      <c r="L352" s="129"/>
      <c r="M352" s="129"/>
      <c r="N352" s="129"/>
      <c r="O352" s="129"/>
      <c r="P352" s="129"/>
      <c r="Q352" s="129"/>
      <c r="R352" s="129"/>
    </row>
    <row r="353" spans="1:18" ht="15" customHeight="1">
      <c r="A353" s="345" t="s">
        <v>94</v>
      </c>
      <c r="B353" s="316" t="s">
        <v>148</v>
      </c>
      <c r="C353" s="317"/>
      <c r="D353" s="50" t="s">
        <v>92</v>
      </c>
      <c r="E353" s="51">
        <v>0.509</v>
      </c>
      <c r="G353" s="120" t="str">
        <f>CONCATENATE(D353," - ",E353,", ")</f>
        <v>4/core PVC Alumn. Cable scrap - 0.509, </v>
      </c>
      <c r="H353" s="325"/>
      <c r="I353" s="129" t="str">
        <f ca="1">IF(J352&gt;=3,(MID(I352,2,1)&amp;MID(I352,4,3)-K352),CELL("address",Z353))</f>
        <v>G354</v>
      </c>
      <c r="J353" s="129" t="str">
        <f ca="1">IF(J352&gt;=4,(MID(I353,1,1)&amp;MID(I353,2,3)+1),CELL("address",AA353))</f>
        <v>G355</v>
      </c>
      <c r="K353" s="129" t="str">
        <f ca="1">IF(J352&gt;=5,(MID(J353,1,1)&amp;MID(J353,2,3)+1),CELL("address",AB353))</f>
        <v>G356</v>
      </c>
      <c r="L353" s="129" t="str">
        <f ca="1">IF(J352&gt;=6,(MID(K353,1,1)&amp;MID(K353,2,3)+1),CELL("address",AC353))</f>
        <v>G357</v>
      </c>
      <c r="M353" s="129" t="str">
        <f ca="1">IF(J352&gt;=7,(MID(L353,1,1)&amp;MID(L353,2,3)+1),CELL("address",AD353))</f>
        <v>$AD$353</v>
      </c>
      <c r="N353" s="129" t="str">
        <f ca="1">IF(J352&gt;=8,(MID(M353,1,1)&amp;MID(M353,2,3)+1),CELL("address",AE353))</f>
        <v>$AE$353</v>
      </c>
      <c r="O353" s="129" t="str">
        <f ca="1">IF(J352&gt;=9,(MID(N353,1,1)&amp;MID(N353,2,3)+1),CELL("address",AF353))</f>
        <v>$AF$353</v>
      </c>
      <c r="P353" s="129" t="str">
        <f ca="1">IF(J352&gt;=10,(MID(O353,1,1)&amp;MID(O353,2,3)+1),CELL("address",AG353))</f>
        <v>$AG$353</v>
      </c>
      <c r="Q353" s="129" t="str">
        <f ca="1">IF(J352&gt;=11,(MID(P353,1,1)&amp;MID(P353,2,3)+1),CELL("address",AH353))</f>
        <v>$AH$353</v>
      </c>
      <c r="R353" s="129" t="str">
        <f ca="1">IF(J352&gt;=12,(MID(Q353,1,1)&amp;MID(Q353,2,3)+1),CELL("address",AI353))</f>
        <v>$AI$353</v>
      </c>
    </row>
    <row r="354" spans="1:8" ht="15" customHeight="1">
      <c r="A354" s="346"/>
      <c r="B354" s="318"/>
      <c r="C354" s="319"/>
      <c r="D354" s="50" t="s">
        <v>93</v>
      </c>
      <c r="E354" s="51">
        <v>1.75</v>
      </c>
      <c r="G354" s="120" t="str">
        <f>CONCATENATE(D354," - ",E354,", ")</f>
        <v>3/ core XLPE Alu cable scrap - 1.75, </v>
      </c>
      <c r="H354" s="133"/>
    </row>
    <row r="355" spans="1:8" ht="15" customHeight="1">
      <c r="A355" s="346"/>
      <c r="B355" s="318"/>
      <c r="C355" s="319"/>
      <c r="D355" s="50" t="s">
        <v>175</v>
      </c>
      <c r="E355" s="92">
        <v>0.141</v>
      </c>
      <c r="G355" s="120" t="str">
        <f>CONCATENATE(D355," - ",E355,", ")</f>
        <v>1/core PVC Alumn. Cable scrap - 0.141, </v>
      </c>
      <c r="H355" s="133"/>
    </row>
    <row r="356" spans="1:8" ht="15" customHeight="1">
      <c r="A356" s="347"/>
      <c r="B356" s="320"/>
      <c r="C356" s="321"/>
      <c r="D356" s="50" t="s">
        <v>91</v>
      </c>
      <c r="E356" s="92">
        <v>0.489</v>
      </c>
      <c r="G356" s="120" t="str">
        <f>CONCATENATE(D356," - ",E356,", ")</f>
        <v>2/core PVC Alumn. Cable scrap - 0.489, </v>
      </c>
      <c r="H356" s="133"/>
    </row>
    <row r="357" spans="1:8" ht="15" customHeight="1">
      <c r="A357" s="45"/>
      <c r="B357" s="305"/>
      <c r="C357" s="306"/>
      <c r="D357" s="86"/>
      <c r="E357" s="92"/>
      <c r="G357" s="120"/>
      <c r="H357" s="133"/>
    </row>
    <row r="358" spans="1:8" ht="15" customHeight="1">
      <c r="A358" s="45"/>
      <c r="B358" s="305"/>
      <c r="C358" s="306"/>
      <c r="D358" s="236"/>
      <c r="E358" s="49">
        <f>SUM(E360:E363)</f>
        <v>2.236</v>
      </c>
      <c r="G358" s="120"/>
      <c r="H358" s="133"/>
    </row>
    <row r="359" spans="1:18" ht="15" customHeight="1">
      <c r="A359" s="45" t="s">
        <v>5</v>
      </c>
      <c r="B359" s="308" t="s">
        <v>17</v>
      </c>
      <c r="C359" s="326"/>
      <c r="D359" s="229" t="s">
        <v>18</v>
      </c>
      <c r="E359" s="45" t="s">
        <v>7</v>
      </c>
      <c r="G359" s="122" t="str">
        <f>CONCATENATE("Cable Scrap, Lying at ",B360,". Quantity in MT - ")</f>
        <v>Cable Scrap, Lying at OL Bhagta Bhai Ka. Quantity in MT - </v>
      </c>
      <c r="H359" s="325" t="str">
        <f ca="1">CONCATENATE(G359,G360,(INDIRECT(I360)),(INDIRECT(J360)),(INDIRECT(K360)),(INDIRECT(L360)),(INDIRECT(M360)),(INDIRECT(N360)),(INDIRECT(O360)),(INDIRECT(P360)),(INDIRECT(Q360)),(INDIRECT(R360)),".")</f>
        <v>Cable Scrap, Lying at OL Bhagta Bhai Ka. Quantity in MT - 4/core PVC Alumn. Cable scrap - 1.272, 2/core PVC Alumn. Cable scrap - 0.338, 3/ core XLPE Alu cable scrap - 0.224, ABC cable scrap (150 mm) - 0.402, .</v>
      </c>
      <c r="I359" s="129" t="str">
        <f aca="true" ca="1" t="array" ref="I359">CELL("address",INDEX(G359:G386,MATCH(TRUE,ISBLANK(G359:G386),0)))</f>
        <v>$G$364</v>
      </c>
      <c r="J359" s="129">
        <f aca="true" t="array" ref="J359">MATCH(TRUE,ISBLANK(G359:G386),0)</f>
        <v>6</v>
      </c>
      <c r="K359" s="129">
        <f>J359-3</f>
        <v>3</v>
      </c>
      <c r="L359" s="129"/>
      <c r="M359" s="129"/>
      <c r="N359" s="129"/>
      <c r="O359" s="129"/>
      <c r="P359" s="129"/>
      <c r="Q359" s="129"/>
      <c r="R359" s="129"/>
    </row>
    <row r="360" spans="1:18" ht="15" customHeight="1">
      <c r="A360" s="303" t="s">
        <v>95</v>
      </c>
      <c r="B360" s="303" t="s">
        <v>101</v>
      </c>
      <c r="C360" s="303"/>
      <c r="D360" s="50" t="s">
        <v>92</v>
      </c>
      <c r="E360" s="51">
        <v>1.272</v>
      </c>
      <c r="G360" s="120" t="str">
        <f>CONCATENATE(D360," - ",E360,", ")</f>
        <v>4/core PVC Alumn. Cable scrap - 1.272, </v>
      </c>
      <c r="H360" s="325"/>
      <c r="I360" s="129" t="str">
        <f ca="1">IF(J359&gt;=3,(MID(I359,2,1)&amp;MID(I359,4,3)-K359),CELL("address",Z360))</f>
        <v>G361</v>
      </c>
      <c r="J360" s="129" t="str">
        <f ca="1">IF(J359&gt;=4,(MID(I360,1,1)&amp;MID(I360,2,3)+1),CELL("address",AA360))</f>
        <v>G362</v>
      </c>
      <c r="K360" s="129" t="str">
        <f ca="1">IF(J359&gt;=5,(MID(J360,1,1)&amp;MID(J360,2,3)+1),CELL("address",AB360))</f>
        <v>G363</v>
      </c>
      <c r="L360" s="129" t="str">
        <f ca="1">IF(J359&gt;=6,(MID(K360,1,1)&amp;MID(K360,2,3)+1),CELL("address",AC360))</f>
        <v>G364</v>
      </c>
      <c r="M360" s="129" t="str">
        <f ca="1">IF(J359&gt;=7,(MID(L360,1,1)&amp;MID(L360,2,3)+1),CELL("address",AD360))</f>
        <v>$AD$360</v>
      </c>
      <c r="N360" s="129" t="str">
        <f ca="1">IF(J359&gt;=8,(MID(M360,1,1)&amp;MID(M360,2,3)+1),CELL("address",AE360))</f>
        <v>$AE$360</v>
      </c>
      <c r="O360" s="129" t="str">
        <f ca="1">IF(J359&gt;=9,(MID(N360,1,1)&amp;MID(N360,2,3)+1),CELL("address",AF360))</f>
        <v>$AF$360</v>
      </c>
      <c r="P360" s="129" t="str">
        <f ca="1">IF(J359&gt;=10,(MID(O360,1,1)&amp;MID(O360,2,3)+1),CELL("address",AG360))</f>
        <v>$AG$360</v>
      </c>
      <c r="Q360" s="129" t="str">
        <f ca="1">IF(J359&gt;=11,(MID(P360,1,1)&amp;MID(P360,2,3)+1),CELL("address",AH360))</f>
        <v>$AH$360</v>
      </c>
      <c r="R360" s="129" t="str">
        <f ca="1">IF(J359&gt;=12,(MID(Q360,1,1)&amp;MID(Q360,2,3)+1),CELL("address",AI360))</f>
        <v>$AI$360</v>
      </c>
    </row>
    <row r="361" spans="1:8" ht="15" customHeight="1">
      <c r="A361" s="303"/>
      <c r="B361" s="303"/>
      <c r="C361" s="303"/>
      <c r="D361" s="50" t="s">
        <v>91</v>
      </c>
      <c r="E361" s="92">
        <v>0.338</v>
      </c>
      <c r="G361" s="120" t="str">
        <f>CONCATENATE(D361," - ",E361,", ")</f>
        <v>2/core PVC Alumn. Cable scrap - 0.338, </v>
      </c>
      <c r="H361" s="133"/>
    </row>
    <row r="362" spans="1:8" ht="15" customHeight="1">
      <c r="A362" s="303"/>
      <c r="B362" s="303"/>
      <c r="C362" s="303"/>
      <c r="D362" s="50" t="s">
        <v>93</v>
      </c>
      <c r="E362" s="92">
        <v>0.224</v>
      </c>
      <c r="G362" s="120" t="str">
        <f>CONCATENATE(D362," - ",E362,", ")</f>
        <v>3/ core XLPE Alu cable scrap - 0.224, </v>
      </c>
      <c r="H362" s="133"/>
    </row>
    <row r="363" spans="1:8" ht="15" customHeight="1">
      <c r="A363" s="303"/>
      <c r="B363" s="303"/>
      <c r="C363" s="303"/>
      <c r="D363" s="50" t="s">
        <v>253</v>
      </c>
      <c r="E363" s="92">
        <v>0.402</v>
      </c>
      <c r="G363" s="120" t="str">
        <f>CONCATENATE(D363," - ",E363,", ")</f>
        <v>ABC cable scrap (150 mm) - 0.402, </v>
      </c>
      <c r="H363" s="133"/>
    </row>
    <row r="364" spans="1:8" ht="15" customHeight="1">
      <c r="A364" s="44"/>
      <c r="B364" s="46"/>
      <c r="C364" s="47"/>
      <c r="D364" s="86"/>
      <c r="E364" s="92"/>
      <c r="G364" s="120"/>
      <c r="H364" s="133"/>
    </row>
    <row r="365" spans="1:8" ht="15" customHeight="1">
      <c r="A365" s="45"/>
      <c r="B365" s="305"/>
      <c r="C365" s="306"/>
      <c r="D365" s="232"/>
      <c r="E365" s="58">
        <f>SUM(E367:E371)</f>
        <v>11.93</v>
      </c>
      <c r="G365" s="122"/>
      <c r="H365" s="133"/>
    </row>
    <row r="366" spans="1:18" ht="15" customHeight="1">
      <c r="A366" s="45" t="s">
        <v>5</v>
      </c>
      <c r="B366" s="303" t="s">
        <v>17</v>
      </c>
      <c r="C366" s="303"/>
      <c r="D366" s="228" t="s">
        <v>18</v>
      </c>
      <c r="E366" s="45" t="s">
        <v>7</v>
      </c>
      <c r="G366" s="122" t="str">
        <f>CONCATENATE("Cable Scrap, Lying at ",B367,". Quantity in MT - ")</f>
        <v>Cable Scrap, Lying at CS Bathinda. Quantity in MT - </v>
      </c>
      <c r="H366" s="325" t="str">
        <f ca="1">CONCATENATE(G366,G367,(INDIRECT(I367)),(INDIRECT(J367)),(INDIRECT(K367)),(INDIRECT(L367)),(INDIRECT(M367)),(INDIRECT(N367)),(INDIRECT(O367)),(INDIRECT(P367)),(INDIRECT(Q367)),(INDIRECT(R367)),".")</f>
        <v>Cable Scrap, Lying at CS Bathinda. Quantity in MT - 2/core PVC Alumn. Cable scrap - 0.3, 4/core PVC Alumn. Cable scrap - 1.722, 1/ core XLPE Alu cable scrap - 0.143, 3/ core XLPE Alu cable scrap - 4.831, ABC cable scrap (70/95 mm) - 4.934, .</v>
      </c>
      <c r="I366" s="129" t="str">
        <f aca="true" ca="1" t="array" ref="I366">CELL("address",INDEX(G366:G391,MATCH(TRUE,ISBLANK(G366:G391),0)))</f>
        <v>$G$372</v>
      </c>
      <c r="J366" s="129">
        <f aca="true" t="array" ref="J366">MATCH(TRUE,ISBLANK(G366:G391),0)</f>
        <v>7</v>
      </c>
      <c r="K366" s="129">
        <f>J366-3</f>
        <v>4</v>
      </c>
      <c r="L366" s="129"/>
      <c r="M366" s="129"/>
      <c r="N366" s="129"/>
      <c r="O366" s="129"/>
      <c r="P366" s="129"/>
      <c r="Q366" s="129"/>
      <c r="R366" s="129"/>
    </row>
    <row r="367" spans="1:18" ht="15" customHeight="1">
      <c r="A367" s="303" t="s">
        <v>97</v>
      </c>
      <c r="B367" s="303" t="s">
        <v>64</v>
      </c>
      <c r="C367" s="303"/>
      <c r="D367" s="50" t="s">
        <v>91</v>
      </c>
      <c r="E367" s="51">
        <v>0.3</v>
      </c>
      <c r="G367" s="120" t="str">
        <f>CONCATENATE(D367," - ",E367,", ")</f>
        <v>2/core PVC Alumn. Cable scrap - 0.3, </v>
      </c>
      <c r="H367" s="325"/>
      <c r="I367" s="129" t="str">
        <f ca="1">IF(J366&gt;=3,(MID(I366,2,1)&amp;MID(I366,4,3)-K366),CELL("address",Z367))</f>
        <v>G368</v>
      </c>
      <c r="J367" s="129" t="str">
        <f ca="1">IF(J366&gt;=4,(MID(I367,1,1)&amp;MID(I367,2,3)+1),CELL("address",AA367))</f>
        <v>G369</v>
      </c>
      <c r="K367" s="129" t="str">
        <f ca="1">IF(J366&gt;=5,(MID(J367,1,1)&amp;MID(J367,2,3)+1),CELL("address",AB367))</f>
        <v>G370</v>
      </c>
      <c r="L367" s="129" t="str">
        <f ca="1">IF(J366&gt;=6,(MID(K367,1,1)&amp;MID(K367,2,3)+1),CELL("address",AC367))</f>
        <v>G371</v>
      </c>
      <c r="M367" s="129" t="str">
        <f ca="1">IF(J366&gt;=7,(MID(L367,1,1)&amp;MID(L367,2,3)+1),CELL("address",AD367))</f>
        <v>G372</v>
      </c>
      <c r="N367" s="129" t="str">
        <f ca="1">IF(J366&gt;=8,(MID(M367,1,1)&amp;MID(M367,2,3)+1),CELL("address",AE367))</f>
        <v>$AE$367</v>
      </c>
      <c r="O367" s="129" t="str">
        <f ca="1">IF(J366&gt;=9,(MID(N367,1,1)&amp;MID(N367,2,3)+1),CELL("address",AF367))</f>
        <v>$AF$367</v>
      </c>
      <c r="P367" s="129" t="str">
        <f ca="1">IF(J366&gt;=10,(MID(O367,1,1)&amp;MID(O367,2,3)+1),CELL("address",AG367))</f>
        <v>$AG$367</v>
      </c>
      <c r="Q367" s="129" t="str">
        <f ca="1">IF(J366&gt;=11,(MID(P367,1,1)&amp;MID(P367,2,3)+1),CELL("address",AH367))</f>
        <v>$AH$367</v>
      </c>
      <c r="R367" s="129" t="str">
        <f ca="1">IF(J366&gt;=12,(MID(Q367,1,1)&amp;MID(Q367,2,3)+1),CELL("address",AI367))</f>
        <v>$AI$367</v>
      </c>
    </row>
    <row r="368" spans="1:8" ht="15" customHeight="1">
      <c r="A368" s="303"/>
      <c r="B368" s="303"/>
      <c r="C368" s="303"/>
      <c r="D368" s="50" t="s">
        <v>92</v>
      </c>
      <c r="E368" s="51">
        <v>1.722</v>
      </c>
      <c r="G368" s="120" t="str">
        <f>CONCATENATE(D368," - ",E368,", ")</f>
        <v>4/core PVC Alumn. Cable scrap - 1.722, </v>
      </c>
      <c r="H368" s="133"/>
    </row>
    <row r="369" spans="1:8" ht="15" customHeight="1">
      <c r="A369" s="303"/>
      <c r="B369" s="303"/>
      <c r="C369" s="303"/>
      <c r="D369" s="50" t="s">
        <v>98</v>
      </c>
      <c r="E369" s="52">
        <v>0.143</v>
      </c>
      <c r="G369" s="120" t="str">
        <f>CONCATENATE(D369," - ",E369,", ")</f>
        <v>1/ core XLPE Alu cable scrap - 0.143, </v>
      </c>
      <c r="H369" s="133"/>
    </row>
    <row r="370" spans="1:8" ht="15" customHeight="1">
      <c r="A370" s="303"/>
      <c r="B370" s="303"/>
      <c r="C370" s="303"/>
      <c r="D370" s="50" t="s">
        <v>93</v>
      </c>
      <c r="E370" s="87">
        <v>4.831</v>
      </c>
      <c r="G370" s="120" t="str">
        <f>CONCATENATE(D370," - ",E370,", ")</f>
        <v>3/ core XLPE Alu cable scrap - 4.831, </v>
      </c>
      <c r="H370" s="133"/>
    </row>
    <row r="371" spans="1:8" ht="15" customHeight="1">
      <c r="A371" s="303"/>
      <c r="B371" s="303"/>
      <c r="C371" s="303"/>
      <c r="D371" s="50" t="s">
        <v>172</v>
      </c>
      <c r="E371" s="87">
        <v>4.934</v>
      </c>
      <c r="G371" s="120" t="str">
        <f>CONCATENATE(D371," - ",E371,", ")</f>
        <v>ABC cable scrap (70/95 mm) - 4.934, </v>
      </c>
      <c r="H371" s="133"/>
    </row>
    <row r="372" spans="1:8" ht="15" customHeight="1">
      <c r="A372" s="44"/>
      <c r="B372" s="46"/>
      <c r="C372" s="47"/>
      <c r="D372" s="93"/>
      <c r="E372" s="94"/>
      <c r="G372" s="120"/>
      <c r="H372" s="133"/>
    </row>
    <row r="373" spans="1:8" ht="15" customHeight="1">
      <c r="A373" s="44"/>
      <c r="B373" s="242"/>
      <c r="C373" s="243"/>
      <c r="D373" s="236"/>
      <c r="E373" s="49">
        <f>SUM(E375:E378)</f>
        <v>3.4909999999999997</v>
      </c>
      <c r="G373" s="120"/>
      <c r="H373" s="133"/>
    </row>
    <row r="374" spans="1:18" ht="15" customHeight="1">
      <c r="A374" s="45" t="s">
        <v>5</v>
      </c>
      <c r="B374" s="308" t="s">
        <v>17</v>
      </c>
      <c r="C374" s="326"/>
      <c r="D374" s="229" t="s">
        <v>18</v>
      </c>
      <c r="E374" s="45" t="s">
        <v>7</v>
      </c>
      <c r="G374" s="122" t="str">
        <f>CONCATENATE("Cable Scrap, Lying at ",B375,". Quantity in MT - ")</f>
        <v>Cable Scrap, Lying at OL Mansa. Quantity in MT - </v>
      </c>
      <c r="H374" s="325" t="str">
        <f ca="1">CONCATENATE(G374,G375,(INDIRECT(I375)),(INDIRECT(J375)),(INDIRECT(K375)),(INDIRECT(L375)),(INDIRECT(M375)),(INDIRECT(N375)),(INDIRECT(O375)),(INDIRECT(P375)),(INDIRECT(Q375)),(INDIRECT(R375)),".")</f>
        <v>Cable Scrap, Lying at OL Mansa. Quantity in MT - 2/core PVC Alumn. Cable scrap - 0.487, 4/core PVC Alumn. Cable scrap - 1.528, 3/ core XLPE Alu cable scrap - 1.386, ABC cable scrap (70/95 mm) - 0.09, .</v>
      </c>
      <c r="I374" s="129" t="str">
        <f aca="true" ca="1" t="array" ref="I374">CELL("address",INDEX(G374:G398,MATCH(TRUE,ISBLANK(G374:G398),0)))</f>
        <v>$G$379</v>
      </c>
      <c r="J374" s="129">
        <f aca="true" t="array" ref="J374">MATCH(TRUE,ISBLANK(G374:G398),0)</f>
        <v>6</v>
      </c>
      <c r="K374" s="129">
        <f>J374-3</f>
        <v>3</v>
      </c>
      <c r="L374" s="129"/>
      <c r="M374" s="129"/>
      <c r="N374" s="129"/>
      <c r="O374" s="129"/>
      <c r="P374" s="129"/>
      <c r="Q374" s="129"/>
      <c r="R374" s="129"/>
    </row>
    <row r="375" spans="1:18" ht="15" customHeight="1">
      <c r="A375" s="303" t="s">
        <v>193</v>
      </c>
      <c r="B375" s="303" t="s">
        <v>60</v>
      </c>
      <c r="C375" s="303"/>
      <c r="D375" s="50" t="s">
        <v>91</v>
      </c>
      <c r="E375" s="51">
        <v>0.487</v>
      </c>
      <c r="G375" s="120" t="str">
        <f>CONCATENATE(D375," - ",E375,", ")</f>
        <v>2/core PVC Alumn. Cable scrap - 0.487, </v>
      </c>
      <c r="H375" s="325"/>
      <c r="I375" s="129" t="str">
        <f ca="1">IF(J374&gt;=3,(MID(I374,2,1)&amp;MID(I374,4,3)-K374),CELL("address",Z375))</f>
        <v>G376</v>
      </c>
      <c r="J375" s="129" t="str">
        <f ca="1">IF(J374&gt;=4,(MID(I375,1,1)&amp;MID(I375,2,3)+1),CELL("address",AA375))</f>
        <v>G377</v>
      </c>
      <c r="K375" s="129" t="str">
        <f ca="1">IF(J374&gt;=5,(MID(J375,1,1)&amp;MID(J375,2,3)+1),CELL("address",AB375))</f>
        <v>G378</v>
      </c>
      <c r="L375" s="129" t="str">
        <f ca="1">IF(J374&gt;=6,(MID(K375,1,1)&amp;MID(K375,2,3)+1),CELL("address",AC375))</f>
        <v>G379</v>
      </c>
      <c r="M375" s="129" t="str">
        <f ca="1">IF(J374&gt;=7,(MID(L375,1,1)&amp;MID(L375,2,3)+1),CELL("address",AD375))</f>
        <v>$AD$375</v>
      </c>
      <c r="N375" s="129" t="str">
        <f ca="1">IF(J374&gt;=8,(MID(M375,1,1)&amp;MID(M375,2,3)+1),CELL("address",AE375))</f>
        <v>$AE$375</v>
      </c>
      <c r="O375" s="129" t="str">
        <f ca="1">IF(J374&gt;=9,(MID(N375,1,1)&amp;MID(N375,2,3)+1),CELL("address",AF375))</f>
        <v>$AF$375</v>
      </c>
      <c r="P375" s="129" t="str">
        <f ca="1">IF(J374&gt;=10,(MID(O375,1,1)&amp;MID(O375,2,3)+1),CELL("address",AG375))</f>
        <v>$AG$375</v>
      </c>
      <c r="Q375" s="129" t="str">
        <f ca="1">IF(J374&gt;=11,(MID(P375,1,1)&amp;MID(P375,2,3)+1),CELL("address",AH375))</f>
        <v>$AH$375</v>
      </c>
      <c r="R375" s="129" t="str">
        <f ca="1">IF(J374&gt;=12,(MID(Q375,1,1)&amp;MID(Q375,2,3)+1),CELL("address",AI375))</f>
        <v>$AI$375</v>
      </c>
    </row>
    <row r="376" spans="1:8" ht="15" customHeight="1">
      <c r="A376" s="303"/>
      <c r="B376" s="303"/>
      <c r="C376" s="303"/>
      <c r="D376" s="50" t="s">
        <v>92</v>
      </c>
      <c r="E376" s="51">
        <v>1.528</v>
      </c>
      <c r="G376" s="120" t="str">
        <f>CONCATENATE(D376," - ",E376,", ")</f>
        <v>4/core PVC Alumn. Cable scrap - 1.528, </v>
      </c>
      <c r="H376" s="133"/>
    </row>
    <row r="377" spans="1:8" ht="15" customHeight="1">
      <c r="A377" s="303"/>
      <c r="B377" s="303"/>
      <c r="C377" s="303"/>
      <c r="D377" s="50" t="s">
        <v>93</v>
      </c>
      <c r="E377" s="51">
        <v>1.386</v>
      </c>
      <c r="G377" s="120" t="str">
        <f>CONCATENATE(D377," - ",E377,", ")</f>
        <v>3/ core XLPE Alu cable scrap - 1.386, </v>
      </c>
      <c r="H377" s="133"/>
    </row>
    <row r="378" spans="1:8" ht="15" customHeight="1">
      <c r="A378" s="303"/>
      <c r="B378" s="303"/>
      <c r="C378" s="303"/>
      <c r="D378" s="50" t="s">
        <v>172</v>
      </c>
      <c r="E378" s="92">
        <v>0.09</v>
      </c>
      <c r="G378" s="120" t="str">
        <f>CONCATENATE(D378," - ",E378,", ")</f>
        <v>ABC cable scrap (70/95 mm) - 0.09, </v>
      </c>
      <c r="H378" s="133"/>
    </row>
    <row r="379" spans="1:8" ht="15" customHeight="1">
      <c r="A379" s="44"/>
      <c r="B379" s="46"/>
      <c r="C379" s="47"/>
      <c r="D379" s="93"/>
      <c r="E379" s="94"/>
      <c r="G379" s="120"/>
      <c r="H379" s="133"/>
    </row>
    <row r="380" spans="1:8" ht="15" customHeight="1">
      <c r="A380" s="44"/>
      <c r="B380" s="242"/>
      <c r="C380" s="243"/>
      <c r="D380" s="236"/>
      <c r="E380" s="49">
        <f>SUM(E382:E385)</f>
        <v>5.21</v>
      </c>
      <c r="G380" s="120"/>
      <c r="H380" s="133"/>
    </row>
    <row r="381" spans="1:18" ht="15" customHeight="1">
      <c r="A381" s="45" t="s">
        <v>5</v>
      </c>
      <c r="B381" s="308" t="s">
        <v>17</v>
      </c>
      <c r="C381" s="326"/>
      <c r="D381" s="229" t="s">
        <v>18</v>
      </c>
      <c r="E381" s="45" t="s">
        <v>7</v>
      </c>
      <c r="G381" s="122" t="str">
        <f>CONCATENATE("Cable Scrap, Lying at ",B382,". Quantity in MT - ")</f>
        <v>Cable Scrap, Lying at CS Kotkapura. Quantity in MT - </v>
      </c>
      <c r="H381" s="325" t="str">
        <f ca="1">CONCATENATE(G381,G382,(INDIRECT(I382)),(INDIRECT(J382)),(INDIRECT(K382)),(INDIRECT(L382)),(INDIRECT(M382)),(INDIRECT(N382)),(INDIRECT(O382)),(INDIRECT(P382)),(INDIRECT(Q382)),(INDIRECT(R382)),".")</f>
        <v>Cable Scrap, Lying at CS Kotkapura. Quantity in MT - 2/core PVC Alumn. Cable scrap - 1.264, 4/core PVC Alumn. Cable scrap - 1.906, 3/ core XLPE Alu cable scrap - 1.979, 1/ core XLPE Alu cable scrap - 0.061, .</v>
      </c>
      <c r="I381" s="129" t="str">
        <f aca="true" ca="1" t="array" ref="I381">CELL("address",INDEX(G381:G406,MATCH(TRUE,ISBLANK(G381:G406),0)))</f>
        <v>$G$386</v>
      </c>
      <c r="J381" s="129">
        <f aca="true" t="array" ref="J381">MATCH(TRUE,ISBLANK(G381:G406),0)</f>
        <v>6</v>
      </c>
      <c r="K381" s="129">
        <f>J381-3</f>
        <v>3</v>
      </c>
      <c r="L381" s="129"/>
      <c r="M381" s="129"/>
      <c r="N381" s="129"/>
      <c r="O381" s="129"/>
      <c r="P381" s="129"/>
      <c r="Q381" s="129"/>
      <c r="R381" s="129"/>
    </row>
    <row r="382" spans="1:18" ht="15" customHeight="1">
      <c r="A382" s="327" t="s">
        <v>195</v>
      </c>
      <c r="B382" s="303" t="s">
        <v>43</v>
      </c>
      <c r="C382" s="303"/>
      <c r="D382" s="38" t="s">
        <v>91</v>
      </c>
      <c r="E382" s="231">
        <v>1.264</v>
      </c>
      <c r="F382" s="1">
        <v>0.832</v>
      </c>
      <c r="G382" s="120" t="str">
        <f>CONCATENATE(D382," - ",E382,", ")</f>
        <v>2/core PVC Alumn. Cable scrap - 1.264, </v>
      </c>
      <c r="H382" s="325"/>
      <c r="I382" s="129" t="str">
        <f ca="1">IF(J381&gt;=3,(MID(I381,2,1)&amp;MID(I381,4,3)-K381),CELL("address",Z382))</f>
        <v>G383</v>
      </c>
      <c r="J382" s="129" t="str">
        <f ca="1">IF(J381&gt;=4,(MID(I382,1,1)&amp;MID(I382,2,3)+1),CELL("address",AA382))</f>
        <v>G384</v>
      </c>
      <c r="K382" s="129" t="str">
        <f ca="1">IF(J381&gt;=5,(MID(J382,1,1)&amp;MID(J382,2,3)+1),CELL("address",AB382))</f>
        <v>G385</v>
      </c>
      <c r="L382" s="129" t="str">
        <f ca="1">IF(J381&gt;=6,(MID(K382,1,1)&amp;MID(K382,2,3)+1),CELL("address",AC382))</f>
        <v>G386</v>
      </c>
      <c r="M382" s="129" t="str">
        <f ca="1">IF(J381&gt;=7,(MID(L382,1,1)&amp;MID(L382,2,3)+1),CELL("address",AD382))</f>
        <v>$AD$382</v>
      </c>
      <c r="N382" s="129" t="str">
        <f ca="1">IF(J381&gt;=8,(MID(M382,1,1)&amp;MID(M382,2,3)+1),CELL("address",AE382))</f>
        <v>$AE$382</v>
      </c>
      <c r="O382" s="129" t="str">
        <f ca="1">IF(J381&gt;=9,(MID(N382,1,1)&amp;MID(N382,2,3)+1),CELL("address",AF382))</f>
        <v>$AF$382</v>
      </c>
      <c r="P382" s="129" t="str">
        <f ca="1">IF(J381&gt;=10,(MID(O382,1,1)&amp;MID(O382,2,3)+1),CELL("address",AG382))</f>
        <v>$AG$382</v>
      </c>
      <c r="Q382" s="129" t="str">
        <f ca="1">IF(J381&gt;=11,(MID(P382,1,1)&amp;MID(P382,2,3)+1),CELL("address",AH382))</f>
        <v>$AH$382</v>
      </c>
      <c r="R382" s="129" t="str">
        <f ca="1">IF(J381&gt;=12,(MID(Q382,1,1)&amp;MID(Q382,2,3)+1),CELL("address",AI382))</f>
        <v>$AI$382</v>
      </c>
    </row>
    <row r="383" spans="1:8" ht="15" customHeight="1">
      <c r="A383" s="327"/>
      <c r="B383" s="303"/>
      <c r="C383" s="303"/>
      <c r="D383" s="38" t="s">
        <v>92</v>
      </c>
      <c r="E383" s="231">
        <v>1.906</v>
      </c>
      <c r="F383" s="1">
        <v>1.556</v>
      </c>
      <c r="G383" s="120" t="str">
        <f>CONCATENATE(D383," - ",E383,", ")</f>
        <v>4/core PVC Alumn. Cable scrap - 1.906, </v>
      </c>
      <c r="H383" s="133"/>
    </row>
    <row r="384" spans="1:8" ht="15" customHeight="1">
      <c r="A384" s="327"/>
      <c r="B384" s="303"/>
      <c r="C384" s="303"/>
      <c r="D384" s="38" t="s">
        <v>93</v>
      </c>
      <c r="E384" s="54">
        <v>1.979</v>
      </c>
      <c r="F384" s="1">
        <v>1.894</v>
      </c>
      <c r="G384" s="120" t="str">
        <f>CONCATENATE(D384," - ",E384,", ")</f>
        <v>3/ core XLPE Alu cable scrap - 1.979, </v>
      </c>
      <c r="H384" s="133"/>
    </row>
    <row r="385" spans="1:8" ht="15" customHeight="1">
      <c r="A385" s="327"/>
      <c r="B385" s="303"/>
      <c r="C385" s="303"/>
      <c r="D385" s="38" t="s">
        <v>98</v>
      </c>
      <c r="E385" s="54">
        <v>0.061</v>
      </c>
      <c r="F385" s="1" t="s">
        <v>387</v>
      </c>
      <c r="G385" s="120" t="str">
        <f>CONCATENATE(D385," - ",E385,", ")</f>
        <v>1/ core XLPE Alu cable scrap - 0.061, </v>
      </c>
      <c r="H385" s="133"/>
    </row>
    <row r="386" spans="1:8" ht="15" customHeight="1">
      <c r="A386" s="44"/>
      <c r="B386" s="46"/>
      <c r="C386" s="47"/>
      <c r="D386" s="38"/>
      <c r="E386" s="54"/>
      <c r="G386" s="120"/>
      <c r="H386" s="133"/>
    </row>
    <row r="387" spans="1:8" ht="15" customHeight="1">
      <c r="A387" s="44"/>
      <c r="B387" s="242"/>
      <c r="C387" s="243"/>
      <c r="D387" s="236"/>
      <c r="E387" s="49">
        <f>SUM(E389:E392)</f>
        <v>3.3850000000000002</v>
      </c>
      <c r="G387" s="120"/>
      <c r="H387" s="133"/>
    </row>
    <row r="388" spans="1:18" ht="15" customHeight="1">
      <c r="A388" s="45" t="s">
        <v>5</v>
      </c>
      <c r="B388" s="308" t="s">
        <v>17</v>
      </c>
      <c r="C388" s="326"/>
      <c r="D388" s="229" t="s">
        <v>18</v>
      </c>
      <c r="E388" s="45" t="s">
        <v>7</v>
      </c>
      <c r="G388" s="122" t="str">
        <f>CONCATENATE("Cable Scrap, Lying at ",B389,". Quantity in MT - ")</f>
        <v>Cable Scrap, Lying at OL Patran. Quantity in MT - </v>
      </c>
      <c r="H388" s="325" t="str">
        <f ca="1">CONCATENATE(G388,G389,(INDIRECT(I389)),(INDIRECT(J389)),(INDIRECT(K389)),(INDIRECT(L389)),(INDIRECT(M389)),(INDIRECT(N389)),(INDIRECT(O389)),(INDIRECT(P389)),(INDIRECT(Q389)),(INDIRECT(R389)),".")</f>
        <v>Cable Scrap, Lying at OL Patran. Quantity in MT - 2/core PVC Alumn. Cable scrap - 0.515, 4/core PVC Alumn. Cable scrap - 0.912, 3/ core XLPE Alu cable scrap - 1.693, ABC cable scrap (150 mm) - 0.265, .</v>
      </c>
      <c r="I388" s="129" t="str">
        <f aca="true" ca="1" t="array" ref="I388">CELL("address",INDEX(G388:G412,MATCH(TRUE,ISBLANK(G388:G412),0)))</f>
        <v>$G$393</v>
      </c>
      <c r="J388" s="129">
        <f aca="true" t="array" ref="J388">MATCH(TRUE,ISBLANK(G388:G412),0)</f>
        <v>6</v>
      </c>
      <c r="K388" s="129">
        <f>J388-3</f>
        <v>3</v>
      </c>
      <c r="L388" s="129"/>
      <c r="M388" s="129"/>
      <c r="N388" s="129"/>
      <c r="O388" s="129"/>
      <c r="P388" s="129"/>
      <c r="Q388" s="129"/>
      <c r="R388" s="129"/>
    </row>
    <row r="389" spans="1:18" ht="15" customHeight="1">
      <c r="A389" s="303" t="s">
        <v>171</v>
      </c>
      <c r="B389" s="303" t="s">
        <v>103</v>
      </c>
      <c r="C389" s="303"/>
      <c r="D389" s="50" t="s">
        <v>91</v>
      </c>
      <c r="E389" s="51">
        <v>0.515</v>
      </c>
      <c r="G389" s="120" t="str">
        <f>CONCATENATE(D389," - ",E389,", ")</f>
        <v>2/core PVC Alumn. Cable scrap - 0.515, </v>
      </c>
      <c r="H389" s="325"/>
      <c r="I389" s="129" t="str">
        <f ca="1">IF(J388&gt;=3,(MID(I388,2,1)&amp;MID(I388,4,3)-K388),CELL("address",Z389))</f>
        <v>G390</v>
      </c>
      <c r="J389" s="129" t="str">
        <f ca="1">IF(J388&gt;=4,(MID(I389,1,1)&amp;MID(I389,2,3)+1),CELL("address",AA389))</f>
        <v>G391</v>
      </c>
      <c r="K389" s="129" t="str">
        <f ca="1">IF(J388&gt;=5,(MID(J389,1,1)&amp;MID(J389,2,3)+1),CELL("address",AB389))</f>
        <v>G392</v>
      </c>
      <c r="L389" s="129" t="str">
        <f ca="1">IF(J388&gt;=6,(MID(K389,1,1)&amp;MID(K389,2,3)+1),CELL("address",AC389))</f>
        <v>G393</v>
      </c>
      <c r="M389" s="129" t="str">
        <f ca="1">IF(J388&gt;=7,(MID(L389,1,1)&amp;MID(L389,2,3)+1),CELL("address",AD389))</f>
        <v>$AD$389</v>
      </c>
      <c r="N389" s="129" t="str">
        <f ca="1">IF(J388&gt;=8,(MID(M389,1,1)&amp;MID(M389,2,3)+1),CELL("address",AE389))</f>
        <v>$AE$389</v>
      </c>
      <c r="O389" s="129" t="str">
        <f ca="1">IF(J388&gt;=9,(MID(N389,1,1)&amp;MID(N389,2,3)+1),CELL("address",AF389))</f>
        <v>$AF$389</v>
      </c>
      <c r="P389" s="129" t="str">
        <f ca="1">IF(J388&gt;=10,(MID(O389,1,1)&amp;MID(O389,2,3)+1),CELL("address",AG389))</f>
        <v>$AG$389</v>
      </c>
      <c r="Q389" s="129" t="str">
        <f ca="1">IF(J388&gt;=11,(MID(P389,1,1)&amp;MID(P389,2,3)+1),CELL("address",AH389))</f>
        <v>$AH$389</v>
      </c>
      <c r="R389" s="129" t="str">
        <f ca="1">IF(J388&gt;=12,(MID(Q389,1,1)&amp;MID(Q389,2,3)+1),CELL("address",AI389))</f>
        <v>$AI$389</v>
      </c>
    </row>
    <row r="390" spans="1:8" ht="15" customHeight="1">
      <c r="A390" s="303"/>
      <c r="B390" s="303"/>
      <c r="C390" s="303"/>
      <c r="D390" s="50" t="s">
        <v>92</v>
      </c>
      <c r="E390" s="51">
        <v>0.912</v>
      </c>
      <c r="G390" s="120" t="str">
        <f>CONCATENATE(D390," - ",E390,", ")</f>
        <v>4/core PVC Alumn. Cable scrap - 0.912, </v>
      </c>
      <c r="H390" s="134"/>
    </row>
    <row r="391" spans="1:8" ht="15" customHeight="1">
      <c r="A391" s="303"/>
      <c r="B391" s="303"/>
      <c r="C391" s="303"/>
      <c r="D391" s="50" t="s">
        <v>93</v>
      </c>
      <c r="E391" s="51">
        <v>1.693</v>
      </c>
      <c r="G391" s="120" t="str">
        <f>CONCATENATE(D391," - ",E391,", ")</f>
        <v>3/ core XLPE Alu cable scrap - 1.693, </v>
      </c>
      <c r="H391" s="133"/>
    </row>
    <row r="392" spans="1:8" ht="15" customHeight="1">
      <c r="A392" s="303"/>
      <c r="B392" s="303"/>
      <c r="C392" s="303"/>
      <c r="D392" s="50" t="s">
        <v>253</v>
      </c>
      <c r="E392" s="51">
        <v>0.265</v>
      </c>
      <c r="G392" s="120" t="str">
        <f>CONCATENATE(D392," - ",E392,", ")</f>
        <v>ABC cable scrap (150 mm) - 0.265, </v>
      </c>
      <c r="H392" s="133"/>
    </row>
    <row r="393" spans="1:8" ht="15" customHeight="1">
      <c r="A393" s="44"/>
      <c r="B393" s="46"/>
      <c r="C393" s="47"/>
      <c r="D393" s="38"/>
      <c r="E393" s="54"/>
      <c r="G393" s="120"/>
      <c r="H393" s="133"/>
    </row>
    <row r="394" spans="1:8" ht="15" customHeight="1">
      <c r="A394" s="44"/>
      <c r="B394" s="53"/>
      <c r="C394" s="230"/>
      <c r="D394" s="232"/>
      <c r="E394" s="98">
        <f>SUM(E396:E400)</f>
        <v>2.2390000000000003</v>
      </c>
      <c r="G394" s="122"/>
      <c r="H394" s="133"/>
    </row>
    <row r="395" spans="1:18" ht="15" customHeight="1">
      <c r="A395" s="45" t="s">
        <v>5</v>
      </c>
      <c r="B395" s="308" t="s">
        <v>17</v>
      </c>
      <c r="C395" s="326"/>
      <c r="D395" s="229" t="s">
        <v>18</v>
      </c>
      <c r="E395" s="45" t="s">
        <v>7</v>
      </c>
      <c r="G395" s="122" t="str">
        <f>CONCATENATE("Cable Scrap, Lying at ",B396,". Quantity in MT - ")</f>
        <v>Cable Scrap, Lying at OL Ropar. Quantity in MT - </v>
      </c>
      <c r="H395" s="325" t="str">
        <f ca="1">CONCATENATE(G395,G396,(INDIRECT(I396)),(INDIRECT(J396)),(INDIRECT(K396)),(INDIRECT(L396)),(INDIRECT(M396)),(INDIRECT(N396)),(INDIRECT(O396)),(INDIRECT(P396)),(INDIRECT(Q396)),(INDIRECT(R396)),".")</f>
        <v>Cable Scrap, Lying at OL Ropar. Quantity in MT - 2/core PVC Alumn. Cable scrap - 0.364, 4/core PVC Alumn. Cable scrap - 0.406, 3/ core XLPE Alu cable scrap - 1.425, 1/core PVC Alumn. Cable scrap - 0.017, Alu.  seals scrap with lash wire - 0.027, .</v>
      </c>
      <c r="I395" s="129" t="str">
        <f aca="true" ca="1" t="array" ref="I395">CELL("address",INDEX(G395:G419,MATCH(TRUE,ISBLANK(G395:G419),0)))</f>
        <v>$G$401</v>
      </c>
      <c r="J395" s="129">
        <f aca="true" t="array" ref="J395">MATCH(TRUE,ISBLANK(G395:G419),0)</f>
        <v>7</v>
      </c>
      <c r="K395" s="129">
        <f>J395-3</f>
        <v>4</v>
      </c>
      <c r="L395" s="129"/>
      <c r="M395" s="129"/>
      <c r="N395" s="129"/>
      <c r="O395" s="129"/>
      <c r="P395" s="129"/>
      <c r="Q395" s="129"/>
      <c r="R395" s="129"/>
    </row>
    <row r="396" spans="1:18" ht="15" customHeight="1">
      <c r="A396" s="303" t="s">
        <v>173</v>
      </c>
      <c r="B396" s="303" t="s">
        <v>99</v>
      </c>
      <c r="C396" s="303"/>
      <c r="D396" s="50" t="s">
        <v>91</v>
      </c>
      <c r="E396" s="52">
        <v>0.364</v>
      </c>
      <c r="G396" s="120" t="str">
        <f>CONCATENATE(D396," - ",E396,", ")</f>
        <v>2/core PVC Alumn. Cable scrap - 0.364, </v>
      </c>
      <c r="H396" s="325"/>
      <c r="I396" s="129" t="str">
        <f ca="1">IF(J395&gt;=3,(MID(I395,2,1)&amp;MID(I395,4,3)-K395),CELL("address",Z396))</f>
        <v>G397</v>
      </c>
      <c r="J396" s="129" t="str">
        <f ca="1">IF(J395&gt;=4,(MID(I396,1,1)&amp;MID(I396,2,3)+1),CELL("address",AA396))</f>
        <v>G398</v>
      </c>
      <c r="K396" s="129" t="str">
        <f ca="1">IF(J395&gt;=5,(MID(J396,1,1)&amp;MID(J396,2,3)+1),CELL("address",AB396))</f>
        <v>G399</v>
      </c>
      <c r="L396" s="129" t="str">
        <f ca="1">IF(J395&gt;=6,(MID(K396,1,1)&amp;MID(K396,2,3)+1),CELL("address",AC396))</f>
        <v>G400</v>
      </c>
      <c r="M396" s="129" t="str">
        <f ca="1">IF(J395&gt;=7,(MID(L396,1,1)&amp;MID(L396,2,3)+1),CELL("address",AD396))</f>
        <v>G401</v>
      </c>
      <c r="N396" s="129" t="str">
        <f ca="1">IF(J395&gt;=8,(MID(M396,1,1)&amp;MID(M396,2,3)+1),CELL("address",AE396))</f>
        <v>$AE$396</v>
      </c>
      <c r="O396" s="129" t="str">
        <f ca="1">IF(J395&gt;=9,(MID(N396,1,1)&amp;MID(N396,2,3)+1),CELL("address",AF396))</f>
        <v>$AF$396</v>
      </c>
      <c r="P396" s="129" t="str">
        <f ca="1">IF(J395&gt;=10,(MID(O396,1,1)&amp;MID(O396,2,3)+1),CELL("address",AG396))</f>
        <v>$AG$396</v>
      </c>
      <c r="Q396" s="129" t="str">
        <f ca="1">IF(J395&gt;=11,(MID(P396,1,1)&amp;MID(P396,2,3)+1),CELL("address",AH396))</f>
        <v>$AH$396</v>
      </c>
      <c r="R396" s="129" t="str">
        <f ca="1">IF(J395&gt;=12,(MID(Q396,1,1)&amp;MID(Q396,2,3)+1),CELL("address",AI396))</f>
        <v>$AI$396</v>
      </c>
    </row>
    <row r="397" spans="1:8" ht="15" customHeight="1">
      <c r="A397" s="303"/>
      <c r="B397" s="303"/>
      <c r="C397" s="303"/>
      <c r="D397" s="50" t="s">
        <v>92</v>
      </c>
      <c r="E397" s="52">
        <v>0.406</v>
      </c>
      <c r="G397" s="120" t="str">
        <f>CONCATENATE(D397," - ",E397,", ")</f>
        <v>4/core PVC Alumn. Cable scrap - 0.406, </v>
      </c>
      <c r="H397" s="133"/>
    </row>
    <row r="398" spans="1:8" ht="15" customHeight="1">
      <c r="A398" s="303"/>
      <c r="B398" s="303"/>
      <c r="C398" s="303"/>
      <c r="D398" s="50" t="s">
        <v>93</v>
      </c>
      <c r="E398" s="52">
        <v>1.425</v>
      </c>
      <c r="G398" s="120" t="str">
        <f>CONCATENATE(D398," - ",E398,", ")</f>
        <v>3/ core XLPE Alu cable scrap - 1.425, </v>
      </c>
      <c r="H398" s="133"/>
    </row>
    <row r="399" spans="1:8" ht="15" customHeight="1">
      <c r="A399" s="303"/>
      <c r="B399" s="303"/>
      <c r="C399" s="303"/>
      <c r="D399" s="50" t="s">
        <v>175</v>
      </c>
      <c r="E399" s="52">
        <v>0.017</v>
      </c>
      <c r="G399" s="120" t="str">
        <f>CONCATENATE(D399," - ",E399,", ")</f>
        <v>1/core PVC Alumn. Cable scrap - 0.017, </v>
      </c>
      <c r="H399" s="133"/>
    </row>
    <row r="400" spans="1:8" ht="15" customHeight="1">
      <c r="A400" s="303"/>
      <c r="B400" s="303"/>
      <c r="C400" s="303"/>
      <c r="D400" s="50" t="s">
        <v>420</v>
      </c>
      <c r="E400" s="52">
        <v>0.027</v>
      </c>
      <c r="G400" s="120" t="str">
        <f>CONCATENATE(D400," - ",E400,", ")</f>
        <v>Alu.  seals scrap with lash wire - 0.027, </v>
      </c>
      <c r="H400" s="133"/>
    </row>
    <row r="401" spans="1:8" ht="15" customHeight="1">
      <c r="A401" s="44"/>
      <c r="B401" s="46"/>
      <c r="C401" s="47"/>
      <c r="D401" s="38"/>
      <c r="E401" s="54"/>
      <c r="G401" s="120"/>
      <c r="H401" s="133"/>
    </row>
    <row r="402" spans="1:8" ht="15" customHeight="1">
      <c r="A402" s="44"/>
      <c r="B402" s="53"/>
      <c r="C402" s="230"/>
      <c r="D402" s="232"/>
      <c r="E402" s="98">
        <f>SUM(E404:E406)</f>
        <v>7.0760000000000005</v>
      </c>
      <c r="G402" s="120"/>
      <c r="H402" s="133"/>
    </row>
    <row r="403" spans="1:18" ht="15" customHeight="1">
      <c r="A403" s="45" t="s">
        <v>5</v>
      </c>
      <c r="B403" s="308" t="s">
        <v>17</v>
      </c>
      <c r="C403" s="326"/>
      <c r="D403" s="229" t="s">
        <v>18</v>
      </c>
      <c r="E403" s="45" t="s">
        <v>7</v>
      </c>
      <c r="G403" s="122" t="str">
        <f>CONCATENATE("Cable Scrap, Lying at ",B404,". Quantity in MT - ")</f>
        <v>Cable Scrap, Lying at CS Malout. Quantity in MT - </v>
      </c>
      <c r="H403" s="325" t="str">
        <f ca="1">CONCATENATE(G403,G404,(INDIRECT(I404)),(INDIRECT(J404)),(INDIRECT(K404)),(INDIRECT(L404)),(INDIRECT(M404)),(INDIRECT(N404)),(INDIRECT(O404)),(INDIRECT(P404)),(INDIRECT(Q404)),(INDIRECT(R404)),".")</f>
        <v>Cable Scrap, Lying at CS Malout. Quantity in MT - 2/core PVC Alumn. Cable scrap - 1.19, 4/core PVC Alumn. Cable scrap - 1.351, 3/ core XLPE Alu cable scrap - 4.535, .</v>
      </c>
      <c r="I403" s="129" t="str">
        <f aca="true" ca="1" t="array" ref="I403">CELL("address",INDEX(G403:G425,MATCH(TRUE,ISBLANK(G403:G425),0)))</f>
        <v>$G$407</v>
      </c>
      <c r="J403" s="129">
        <f aca="true" t="array" ref="J403">MATCH(TRUE,ISBLANK(G403:G425),0)</f>
        <v>5</v>
      </c>
      <c r="K403" s="129">
        <f>J403-3</f>
        <v>2</v>
      </c>
      <c r="L403" s="129"/>
      <c r="M403" s="129"/>
      <c r="N403" s="129"/>
      <c r="O403" s="129"/>
      <c r="P403" s="129"/>
      <c r="Q403" s="129"/>
      <c r="R403" s="129"/>
    </row>
    <row r="404" spans="1:18" ht="15" customHeight="1">
      <c r="A404" s="303" t="s">
        <v>174</v>
      </c>
      <c r="B404" s="303" t="s">
        <v>96</v>
      </c>
      <c r="C404" s="303"/>
      <c r="D404" s="50" t="s">
        <v>91</v>
      </c>
      <c r="E404" s="52">
        <v>1.19</v>
      </c>
      <c r="G404" s="120" t="str">
        <f>CONCATENATE(D404," - ",E404,", ")</f>
        <v>2/core PVC Alumn. Cable scrap - 1.19, </v>
      </c>
      <c r="H404" s="325"/>
      <c r="I404" s="129" t="str">
        <f ca="1">IF(J403&gt;=3,(MID(I403,2,1)&amp;MID(I403,4,3)-K403),CELL("address",Z404))</f>
        <v>G405</v>
      </c>
      <c r="J404" s="129" t="str">
        <f ca="1">IF(J403&gt;=4,(MID(I404,1,1)&amp;MID(I404,2,3)+1),CELL("address",AA404))</f>
        <v>G406</v>
      </c>
      <c r="K404" s="129" t="str">
        <f ca="1">IF(J403&gt;=5,(MID(J404,1,1)&amp;MID(J404,2,3)+1),CELL("address",AB404))</f>
        <v>G407</v>
      </c>
      <c r="L404" s="129" t="str">
        <f ca="1">IF(J403&gt;=6,(MID(K404,1,1)&amp;MID(K404,2,3)+1),CELL("address",AC404))</f>
        <v>$AC$404</v>
      </c>
      <c r="M404" s="129" t="str">
        <f ca="1">IF(J403&gt;=7,(MID(L404,1,1)&amp;MID(L404,2,3)+1),CELL("address",AD404))</f>
        <v>$AD$404</v>
      </c>
      <c r="N404" s="129" t="str">
        <f ca="1">IF(J403&gt;=8,(MID(M404,1,1)&amp;MID(M404,2,3)+1),CELL("address",AE404))</f>
        <v>$AE$404</v>
      </c>
      <c r="O404" s="129" t="str">
        <f ca="1">IF(J403&gt;=9,(MID(N404,1,1)&amp;MID(N404,2,3)+1),CELL("address",AF404))</f>
        <v>$AF$404</v>
      </c>
      <c r="P404" s="129" t="str">
        <f ca="1">IF(J403&gt;=10,(MID(O404,1,1)&amp;MID(O404,2,3)+1),CELL("address",AG404))</f>
        <v>$AG$404</v>
      </c>
      <c r="Q404" s="129" t="str">
        <f ca="1">IF(J403&gt;=11,(MID(P404,1,1)&amp;MID(P404,2,3)+1),CELL("address",AH404))</f>
        <v>$AH$404</v>
      </c>
      <c r="R404" s="129" t="str">
        <f ca="1">IF(J403&gt;=12,(MID(Q404,1,1)&amp;MID(Q404,2,3)+1),CELL("address",AI404))</f>
        <v>$AI$404</v>
      </c>
    </row>
    <row r="405" spans="1:8" ht="15" customHeight="1">
      <c r="A405" s="303"/>
      <c r="B405" s="303"/>
      <c r="C405" s="303"/>
      <c r="D405" s="50" t="s">
        <v>92</v>
      </c>
      <c r="E405" s="52">
        <v>1.351</v>
      </c>
      <c r="G405" s="120" t="str">
        <f>CONCATENATE(D405," - ",E405,", ")</f>
        <v>4/core PVC Alumn. Cable scrap - 1.351, </v>
      </c>
      <c r="H405" s="134"/>
    </row>
    <row r="406" spans="1:8" ht="15" customHeight="1">
      <c r="A406" s="303"/>
      <c r="B406" s="303"/>
      <c r="C406" s="303"/>
      <c r="D406" s="50" t="s">
        <v>93</v>
      </c>
      <c r="E406" s="52">
        <v>4.535</v>
      </c>
      <c r="G406" s="120" t="str">
        <f>CONCATENATE(D406," - ",E406,", ")</f>
        <v>3/ core XLPE Alu cable scrap - 4.535, </v>
      </c>
      <c r="H406" s="133"/>
    </row>
    <row r="407" spans="1:8" ht="15" customHeight="1">
      <c r="A407" s="44"/>
      <c r="B407" s="46"/>
      <c r="C407" s="47"/>
      <c r="D407" s="50"/>
      <c r="E407" s="52"/>
      <c r="G407" s="120"/>
      <c r="H407" s="133"/>
    </row>
    <row r="408" spans="1:8" ht="15" customHeight="1">
      <c r="A408" s="44"/>
      <c r="B408" s="53"/>
      <c r="C408" s="230"/>
      <c r="D408" s="232"/>
      <c r="E408" s="98">
        <f>SUM(E410:E413)</f>
        <v>2.9930000000000003</v>
      </c>
      <c r="G408" s="120"/>
      <c r="H408" s="133"/>
    </row>
    <row r="409" spans="1:18" ht="15" customHeight="1">
      <c r="A409" s="45" t="s">
        <v>5</v>
      </c>
      <c r="B409" s="308" t="s">
        <v>17</v>
      </c>
      <c r="C409" s="326"/>
      <c r="D409" s="229" t="s">
        <v>18</v>
      </c>
      <c r="E409" s="45" t="s">
        <v>7</v>
      </c>
      <c r="G409" s="122" t="str">
        <f>CONCATENATE("Cable Scrap, Lying at ",B410,". Quantity in MT - ")</f>
        <v>Cable Scrap, Lying at OL Nabha. Quantity in MT - </v>
      </c>
      <c r="H409" s="325" t="str">
        <f ca="1">CONCATENATE(G409,G410,(INDIRECT(I410)),(INDIRECT(J410)),(INDIRECT(K410)),(INDIRECT(L410)),(INDIRECT(M410)),(INDIRECT(N410)),(INDIRECT(O410)),(INDIRECT(P410)),(INDIRECT(Q410)),(INDIRECT(R410)),".")</f>
        <v>Cable Scrap, Lying at OL Nabha. Quantity in MT - 2/core PVC Alumn. Cable scrap - 1.07, 4/core PVC Alumn. Cable scrap - 0.736, 3/ core XLPE Alu cable scrap - 1.147, ABC cable scrap (70/95 mm) - 0.04, .</v>
      </c>
      <c r="I409" s="129" t="str">
        <f aca="true" ca="1" t="array" ref="I409">CELL("address",INDEX(G409:G431,MATCH(TRUE,ISBLANK(G409:G431),0)))</f>
        <v>$G$414</v>
      </c>
      <c r="J409" s="129">
        <f aca="true" t="array" ref="J409">MATCH(TRUE,ISBLANK(G409:G431),0)</f>
        <v>6</v>
      </c>
      <c r="K409" s="129">
        <f>J409-3</f>
        <v>3</v>
      </c>
      <c r="L409" s="129"/>
      <c r="M409" s="129"/>
      <c r="N409" s="129"/>
      <c r="O409" s="129"/>
      <c r="P409" s="129"/>
      <c r="Q409" s="129"/>
      <c r="R409" s="129"/>
    </row>
    <row r="410" spans="1:18" ht="15" customHeight="1">
      <c r="A410" s="303" t="s">
        <v>176</v>
      </c>
      <c r="B410" s="303" t="s">
        <v>106</v>
      </c>
      <c r="C410" s="303"/>
      <c r="D410" s="50" t="s">
        <v>91</v>
      </c>
      <c r="E410" s="52">
        <v>1.07</v>
      </c>
      <c r="G410" s="120" t="str">
        <f>CONCATENATE(D410," - ",E410,", ")</f>
        <v>2/core PVC Alumn. Cable scrap - 1.07, </v>
      </c>
      <c r="H410" s="325"/>
      <c r="I410" s="129" t="str">
        <f ca="1">IF(J409&gt;=3,(MID(I409,2,1)&amp;MID(I409,4,3)-K409),CELL("address",Z410))</f>
        <v>G411</v>
      </c>
      <c r="J410" s="129" t="str">
        <f ca="1">IF(J409&gt;=4,(MID(I410,1,1)&amp;MID(I410,2,3)+1),CELL("address",AA410))</f>
        <v>G412</v>
      </c>
      <c r="K410" s="129" t="str">
        <f ca="1">IF(J409&gt;=5,(MID(J410,1,1)&amp;MID(J410,2,3)+1),CELL("address",AB410))</f>
        <v>G413</v>
      </c>
      <c r="L410" s="129" t="str">
        <f ca="1">IF(J409&gt;=6,(MID(K410,1,1)&amp;MID(K410,2,3)+1),CELL("address",AC410))</f>
        <v>G414</v>
      </c>
      <c r="M410" s="129" t="str">
        <f ca="1">IF(J409&gt;=7,(MID(L410,1,1)&amp;MID(L410,2,3)+1),CELL("address",AD410))</f>
        <v>$AD$410</v>
      </c>
      <c r="N410" s="129" t="str">
        <f ca="1">IF(J409&gt;=8,(MID(M410,1,1)&amp;MID(M410,2,3)+1),CELL("address",AE410))</f>
        <v>$AE$410</v>
      </c>
      <c r="O410" s="129" t="str">
        <f ca="1">IF(J409&gt;=9,(MID(N410,1,1)&amp;MID(N410,2,3)+1),CELL("address",AF410))</f>
        <v>$AF$410</v>
      </c>
      <c r="P410" s="129" t="str">
        <f ca="1">IF(J409&gt;=10,(MID(O410,1,1)&amp;MID(O410,2,3)+1),CELL("address",AG410))</f>
        <v>$AG$410</v>
      </c>
      <c r="Q410" s="129" t="str">
        <f ca="1">IF(J409&gt;=11,(MID(P410,1,1)&amp;MID(P410,2,3)+1),CELL("address",AH410))</f>
        <v>$AH$410</v>
      </c>
      <c r="R410" s="129" t="str">
        <f ca="1">IF(J409&gt;=12,(MID(Q410,1,1)&amp;MID(Q410,2,3)+1),CELL("address",AI410))</f>
        <v>$AI$410</v>
      </c>
    </row>
    <row r="411" spans="1:8" ht="15" customHeight="1">
      <c r="A411" s="303"/>
      <c r="B411" s="303"/>
      <c r="C411" s="303"/>
      <c r="D411" s="50" t="s">
        <v>92</v>
      </c>
      <c r="E411" s="52">
        <v>0.736</v>
      </c>
      <c r="G411" s="120" t="str">
        <f>CONCATENATE(D411," - ",E411,", ")</f>
        <v>4/core PVC Alumn. Cable scrap - 0.736, </v>
      </c>
      <c r="H411" s="133"/>
    </row>
    <row r="412" spans="1:8" ht="15" customHeight="1">
      <c r="A412" s="303"/>
      <c r="B412" s="303"/>
      <c r="C412" s="303"/>
      <c r="D412" s="50" t="s">
        <v>93</v>
      </c>
      <c r="E412" s="52">
        <v>1.147</v>
      </c>
      <c r="G412" s="120" t="str">
        <f>CONCATENATE(D412," - ",E412,", ")</f>
        <v>3/ core XLPE Alu cable scrap - 1.147, </v>
      </c>
      <c r="H412" s="133"/>
    </row>
    <row r="413" spans="1:8" ht="15" customHeight="1">
      <c r="A413" s="303"/>
      <c r="B413" s="303"/>
      <c r="C413" s="303"/>
      <c r="D413" s="50" t="s">
        <v>172</v>
      </c>
      <c r="E413" s="52">
        <v>0.04</v>
      </c>
      <c r="G413" s="120" t="str">
        <f>CONCATENATE(D413," - ",E413,", ")</f>
        <v>ABC cable scrap (70/95 mm) - 0.04, </v>
      </c>
      <c r="H413" s="133"/>
    </row>
    <row r="414" spans="1:8" ht="15" customHeight="1">
      <c r="A414" s="44"/>
      <c r="B414" s="46"/>
      <c r="C414" s="47"/>
      <c r="D414" s="38"/>
      <c r="E414" s="54"/>
      <c r="G414" s="120"/>
      <c r="H414" s="133"/>
    </row>
    <row r="415" spans="1:8" ht="15" customHeight="1">
      <c r="A415" s="44"/>
      <c r="B415" s="242"/>
      <c r="C415" s="243"/>
      <c r="D415" s="236"/>
      <c r="E415" s="49">
        <f>SUM(E417:E420)</f>
        <v>6.2010000000000005</v>
      </c>
      <c r="G415" s="120"/>
      <c r="H415" s="133"/>
    </row>
    <row r="416" spans="1:18" ht="15" customHeight="1">
      <c r="A416" s="45" t="s">
        <v>5</v>
      </c>
      <c r="B416" s="308" t="s">
        <v>17</v>
      </c>
      <c r="C416" s="326"/>
      <c r="D416" s="229" t="s">
        <v>18</v>
      </c>
      <c r="E416" s="45" t="s">
        <v>7</v>
      </c>
      <c r="G416" s="122" t="str">
        <f>CONCATENATE("Cable Scrap, Lying at ",B417,". Quantity in MT - ")</f>
        <v>Cable Scrap, Lying at CS Patiala. Quantity in MT - </v>
      </c>
      <c r="H416" s="325" t="str">
        <f ca="1">CONCATENATE(G416,G417,(INDIRECT(I417)),(INDIRECT(J417)),(INDIRECT(K417)),(INDIRECT(L417)),(INDIRECT(M417)),(INDIRECT(N417)),(INDIRECT(O417)),(INDIRECT(P417)),(INDIRECT(Q417)),(INDIRECT(R417)),".")</f>
        <v>Cable Scrap, Lying at CS Patiala. Quantity in MT - 1/core PVC Alumn. Cable scrap - 0.301, 2/core PVC Alumn. Cable scrap - 1.07, 4/core PVC Alumn. Cable scrap - 2.823, 3/ core XLPE Alu cable scrap - 2.007, .</v>
      </c>
      <c r="I416" s="129" t="str">
        <f aca="true" ca="1" t="array" ref="I416">CELL("address",INDEX(G416:G439,MATCH(TRUE,ISBLANK(G416:G439),0)))</f>
        <v>$G$421</v>
      </c>
      <c r="J416" s="129">
        <f aca="true" t="array" ref="J416">MATCH(TRUE,ISBLANK(G416:G439),0)</f>
        <v>6</v>
      </c>
      <c r="K416" s="129">
        <f>J416-3</f>
        <v>3</v>
      </c>
      <c r="L416" s="129"/>
      <c r="M416" s="129"/>
      <c r="N416" s="129"/>
      <c r="O416" s="129"/>
      <c r="P416" s="129"/>
      <c r="Q416" s="129"/>
      <c r="R416" s="129"/>
    </row>
    <row r="417" spans="1:18" ht="15" customHeight="1">
      <c r="A417" s="303" t="s">
        <v>177</v>
      </c>
      <c r="B417" s="303" t="s">
        <v>53</v>
      </c>
      <c r="C417" s="303"/>
      <c r="D417" s="50" t="s">
        <v>175</v>
      </c>
      <c r="E417" s="45">
        <v>0.301</v>
      </c>
      <c r="G417" s="120" t="str">
        <f>CONCATENATE(D417," - ",E417,", ")</f>
        <v>1/core PVC Alumn. Cable scrap - 0.301, </v>
      </c>
      <c r="H417" s="325"/>
      <c r="I417" s="129" t="str">
        <f ca="1">IF(J416&gt;=3,(MID(I416,2,1)&amp;MID(I416,4,3)-K416),CELL("address",Z417))</f>
        <v>G418</v>
      </c>
      <c r="J417" s="129" t="str">
        <f ca="1">IF(J416&gt;=4,(MID(I417,1,1)&amp;MID(I417,2,3)+1),CELL("address",AA417))</f>
        <v>G419</v>
      </c>
      <c r="K417" s="129" t="str">
        <f ca="1">IF(J416&gt;=5,(MID(J417,1,1)&amp;MID(J417,2,3)+1),CELL("address",AB417))</f>
        <v>G420</v>
      </c>
      <c r="L417" s="129" t="str">
        <f ca="1">IF(J416&gt;=6,(MID(K417,1,1)&amp;MID(K417,2,3)+1),CELL("address",AC417))</f>
        <v>G421</v>
      </c>
      <c r="M417" s="129" t="str">
        <f ca="1">IF(J416&gt;=7,(MID(L417,1,1)&amp;MID(L417,2,3)+1),CELL("address",AD417))</f>
        <v>$AD$417</v>
      </c>
      <c r="N417" s="129" t="str">
        <f ca="1">IF(J416&gt;=8,(MID(M417,1,1)&amp;MID(M417,2,3)+1),CELL("address",AE417))</f>
        <v>$AE$417</v>
      </c>
      <c r="O417" s="129" t="str">
        <f ca="1">IF(J416&gt;=9,(MID(N417,1,1)&amp;MID(N417,2,3)+1),CELL("address",AF417))</f>
        <v>$AF$417</v>
      </c>
      <c r="P417" s="129" t="str">
        <f ca="1">IF(J416&gt;=10,(MID(O417,1,1)&amp;MID(O417,2,3)+1),CELL("address",AG417))</f>
        <v>$AG$417</v>
      </c>
      <c r="Q417" s="129" t="str">
        <f ca="1">IF(J416&gt;=11,(MID(P417,1,1)&amp;MID(P417,2,3)+1),CELL("address",AH417))</f>
        <v>$AH$417</v>
      </c>
      <c r="R417" s="129" t="str">
        <f ca="1">IF(J416&gt;=12,(MID(Q417,1,1)&amp;MID(Q417,2,3)+1),CELL("address",AI417))</f>
        <v>$AI$417</v>
      </c>
    </row>
    <row r="418" spans="1:8" ht="15" customHeight="1">
      <c r="A418" s="303"/>
      <c r="B418" s="303"/>
      <c r="C418" s="303"/>
      <c r="D418" s="50" t="s">
        <v>91</v>
      </c>
      <c r="E418" s="51">
        <v>1.07</v>
      </c>
      <c r="G418" s="120" t="str">
        <f>CONCATENATE(D418," - ",E418,", ")</f>
        <v>2/core PVC Alumn. Cable scrap - 1.07, </v>
      </c>
      <c r="H418" s="133"/>
    </row>
    <row r="419" spans="1:8" ht="15" customHeight="1">
      <c r="A419" s="303"/>
      <c r="B419" s="303"/>
      <c r="C419" s="303"/>
      <c r="D419" s="50" t="s">
        <v>92</v>
      </c>
      <c r="E419" s="51">
        <v>2.823</v>
      </c>
      <c r="G419" s="120" t="str">
        <f>CONCATENATE(D419," - ",E419,", ")</f>
        <v>4/core PVC Alumn. Cable scrap - 2.823, </v>
      </c>
      <c r="H419" s="133"/>
    </row>
    <row r="420" spans="1:8" ht="15" customHeight="1">
      <c r="A420" s="303"/>
      <c r="B420" s="303"/>
      <c r="C420" s="303"/>
      <c r="D420" s="50" t="s">
        <v>93</v>
      </c>
      <c r="E420" s="50">
        <v>2.007</v>
      </c>
      <c r="G420" s="120" t="str">
        <f>CONCATENATE(D420," - ",E420,", ")</f>
        <v>3/ core XLPE Alu cable scrap - 2.007, </v>
      </c>
      <c r="H420" s="133"/>
    </row>
    <row r="421" spans="1:8" ht="15" customHeight="1">
      <c r="A421" s="44"/>
      <c r="B421" s="46"/>
      <c r="C421" s="47"/>
      <c r="D421" s="38"/>
      <c r="E421" s="54"/>
      <c r="G421" s="120"/>
      <c r="H421" s="133"/>
    </row>
    <row r="422" spans="1:8" ht="15" customHeight="1">
      <c r="A422" s="40"/>
      <c r="E422" s="226">
        <f>SUM(E424:E427)</f>
        <v>1.25</v>
      </c>
      <c r="G422" s="120"/>
      <c r="H422" s="220"/>
    </row>
    <row r="423" spans="1:18" ht="15" customHeight="1">
      <c r="A423" s="45" t="s">
        <v>5</v>
      </c>
      <c r="B423" s="308" t="s">
        <v>17</v>
      </c>
      <c r="C423" s="326"/>
      <c r="D423" s="229" t="s">
        <v>18</v>
      </c>
      <c r="E423" s="45" t="s">
        <v>7</v>
      </c>
      <c r="G423" s="122" t="str">
        <f>CONCATENATE("Cable Scrap, Lying at ",B424,". Quantity in MT - ")</f>
        <v>Cable Scrap, Lying at OL Rajpura. Quantity in MT - </v>
      </c>
      <c r="H423" s="325" t="str">
        <f ca="1">CONCATENATE(G423,G424,(INDIRECT(I424)),(INDIRECT(J424)),(INDIRECT(K424)),(INDIRECT(L424)),(INDIRECT(M424)),(INDIRECT(N424)),(INDIRECT(O424)),(INDIRECT(P424)),(INDIRECT(Q424)),(INDIRECT(R424)),".")</f>
        <v>Cable Scrap, Lying at OL Rajpura. Quantity in MT - 2/core PVC Alumn. Cable scrap - 0.176, 4/core PVC Alumn. Cable scrap - 0.376, 3/ core XLPE Alu cable scrap - 0.139, ABC cable scrap (70/95 mm) - 0.559, .</v>
      </c>
      <c r="I423" s="129" t="str">
        <f aca="true" ca="1" t="array" ref="I423">CELL("address",INDEX(G423:G475,MATCH(TRUE,ISBLANK(G423:G475),0)))</f>
        <v>$G$428</v>
      </c>
      <c r="J423" s="129">
        <f aca="true" t="array" ref="J423">MATCH(TRUE,ISBLANK(G423:G475),0)</f>
        <v>6</v>
      </c>
      <c r="K423" s="129">
        <f>J423-3</f>
        <v>3</v>
      </c>
      <c r="L423" s="129"/>
      <c r="M423" s="129"/>
      <c r="N423" s="129"/>
      <c r="O423" s="129"/>
      <c r="P423" s="129"/>
      <c r="Q423" s="129"/>
      <c r="R423" s="129"/>
    </row>
    <row r="424" spans="1:18" ht="15" customHeight="1">
      <c r="A424" s="303" t="s">
        <v>178</v>
      </c>
      <c r="B424" s="303" t="s">
        <v>105</v>
      </c>
      <c r="C424" s="303"/>
      <c r="D424" s="50" t="s">
        <v>91</v>
      </c>
      <c r="E424" s="45">
        <v>0.176</v>
      </c>
      <c r="G424" s="120" t="str">
        <f>CONCATENATE(D424," - ",E424,", ")</f>
        <v>2/core PVC Alumn. Cable scrap - 0.176, </v>
      </c>
      <c r="H424" s="325"/>
      <c r="I424" s="129" t="str">
        <f ca="1">IF(J423&gt;=3,(MID(I423,2,1)&amp;MID(I423,4,3)-K423),CELL("address",Z424))</f>
        <v>G425</v>
      </c>
      <c r="J424" s="129" t="str">
        <f ca="1">IF(J423&gt;=4,(MID(I424,1,1)&amp;MID(I424,2,3)+1),CELL("address",AA424))</f>
        <v>G426</v>
      </c>
      <c r="K424" s="129" t="str">
        <f ca="1">IF(J423&gt;=5,(MID(J424,1,1)&amp;MID(J424,2,3)+1),CELL("address",AB424))</f>
        <v>G427</v>
      </c>
      <c r="L424" s="129" t="str">
        <f ca="1">IF(J423&gt;=6,(MID(K424,1,1)&amp;MID(K424,2,3)+1),CELL("address",AC424))</f>
        <v>G428</v>
      </c>
      <c r="M424" s="129" t="str">
        <f ca="1">IF(J423&gt;=7,(MID(L424,1,1)&amp;MID(L424,2,3)+1),CELL("address",AD424))</f>
        <v>$AD$424</v>
      </c>
      <c r="N424" s="129" t="str">
        <f ca="1">IF(J423&gt;=8,(MID(M424,1,1)&amp;MID(M424,2,3)+1),CELL("address",AE424))</f>
        <v>$AE$424</v>
      </c>
      <c r="O424" s="129" t="str">
        <f ca="1">IF(J423&gt;=9,(MID(N424,1,1)&amp;MID(N424,2,3)+1),CELL("address",AF424))</f>
        <v>$AF$424</v>
      </c>
      <c r="P424" s="129" t="str">
        <f ca="1">IF(J423&gt;=10,(MID(O424,1,1)&amp;MID(O424,2,3)+1),CELL("address",AG424))</f>
        <v>$AG$424</v>
      </c>
      <c r="Q424" s="129" t="str">
        <f ca="1">IF(J423&gt;=11,(MID(P424,1,1)&amp;MID(P424,2,3)+1),CELL("address",AH424))</f>
        <v>$AH$424</v>
      </c>
      <c r="R424" s="129" t="str">
        <f ca="1">IF(J423&gt;=12,(MID(Q424,1,1)&amp;MID(Q424,2,3)+1),CELL("address",AI424))</f>
        <v>$AI$424</v>
      </c>
    </row>
    <row r="425" spans="1:8" ht="15" customHeight="1">
      <c r="A425" s="303"/>
      <c r="B425" s="303"/>
      <c r="C425" s="303"/>
      <c r="D425" s="50" t="s">
        <v>92</v>
      </c>
      <c r="E425" s="51">
        <v>0.376</v>
      </c>
      <c r="G425" s="120" t="str">
        <f>CONCATENATE(D425," - ",E425,", ")</f>
        <v>4/core PVC Alumn. Cable scrap - 0.376, </v>
      </c>
      <c r="H425" s="133"/>
    </row>
    <row r="426" spans="1:8" ht="15" customHeight="1">
      <c r="A426" s="303"/>
      <c r="B426" s="303"/>
      <c r="C426" s="303"/>
      <c r="D426" s="50" t="s">
        <v>93</v>
      </c>
      <c r="E426" s="51">
        <v>0.139</v>
      </c>
      <c r="G426" s="120" t="str">
        <f>CONCATENATE(D426," - ",E426,", ")</f>
        <v>3/ core XLPE Alu cable scrap - 0.139, </v>
      </c>
      <c r="H426" s="133"/>
    </row>
    <row r="427" spans="1:8" ht="15" customHeight="1">
      <c r="A427" s="303"/>
      <c r="B427" s="303"/>
      <c r="C427" s="303"/>
      <c r="D427" s="50" t="s">
        <v>172</v>
      </c>
      <c r="E427" s="52">
        <v>0.559</v>
      </c>
      <c r="G427" s="120" t="str">
        <f>CONCATENATE(D427," - ",E427,", ")</f>
        <v>ABC cable scrap (70/95 mm) - 0.559, </v>
      </c>
      <c r="H427" s="133"/>
    </row>
    <row r="428" spans="1:8" ht="15" customHeight="1">
      <c r="A428" s="44"/>
      <c r="B428" s="46"/>
      <c r="C428" s="47"/>
      <c r="D428" s="50"/>
      <c r="E428" s="52"/>
      <c r="G428" s="120"/>
      <c r="H428" s="133"/>
    </row>
    <row r="429" spans="1:8" ht="15" customHeight="1">
      <c r="A429" s="44"/>
      <c r="B429" s="242"/>
      <c r="C429" s="243"/>
      <c r="D429" s="236"/>
      <c r="E429" s="49">
        <f>SUM(E431:E434)</f>
        <v>4.255999999999999</v>
      </c>
      <c r="G429" s="120"/>
      <c r="H429" s="133"/>
    </row>
    <row r="430" spans="1:18" ht="15" customHeight="1">
      <c r="A430" s="45" t="s">
        <v>5</v>
      </c>
      <c r="B430" s="308" t="s">
        <v>17</v>
      </c>
      <c r="C430" s="326"/>
      <c r="D430" s="229" t="s">
        <v>18</v>
      </c>
      <c r="E430" s="45" t="s">
        <v>7</v>
      </c>
      <c r="G430" s="122" t="str">
        <f>CONCATENATE("Cable Scrap, Lying at ",B431,". Quantity in MT - ")</f>
        <v>Cable Scrap, Lying at OL Barnala. Quantity in MT - </v>
      </c>
      <c r="H430" s="325" t="str">
        <f ca="1">CONCATENATE(G430,G431,(INDIRECT(I431)),(INDIRECT(J431)),(INDIRECT(K431)),(INDIRECT(L431)),(INDIRECT(M431)),(INDIRECT(N431)),(INDIRECT(O431)),(INDIRECT(P431)),(INDIRECT(Q431)),(INDIRECT(R431)),".")</f>
        <v>Cable Scrap, Lying at OL Barnala. Quantity in MT - 2/core PVC Alumn. Cable scrap - 0.488, 4/core PVC Alumn. Cable scrap - 0.928, 3/ core XLPE Alu cable scrap - 2.822, 1/ core XLPE Alu cable scrap - 0.018, .</v>
      </c>
      <c r="I430" s="129" t="str">
        <f aca="true" ca="1" t="array" ref="I430">CELL("address",INDEX(G430:G482,MATCH(TRUE,ISBLANK(G430:G482),0)))</f>
        <v>$G$435</v>
      </c>
      <c r="J430" s="129">
        <f aca="true" t="array" ref="J430">MATCH(TRUE,ISBLANK(G430:G482),0)</f>
        <v>6</v>
      </c>
      <c r="K430" s="129">
        <f>J430-3</f>
        <v>3</v>
      </c>
      <c r="L430" s="129"/>
      <c r="M430" s="129"/>
      <c r="N430" s="129"/>
      <c r="O430" s="129"/>
      <c r="P430" s="129"/>
      <c r="Q430" s="129"/>
      <c r="R430" s="129"/>
    </row>
    <row r="431" spans="1:18" ht="15" customHeight="1">
      <c r="A431" s="303" t="s">
        <v>250</v>
      </c>
      <c r="B431" s="303" t="s">
        <v>194</v>
      </c>
      <c r="C431" s="303"/>
      <c r="D431" s="50" t="s">
        <v>91</v>
      </c>
      <c r="E431" s="51">
        <v>0.488</v>
      </c>
      <c r="G431" s="120" t="str">
        <f>CONCATENATE(D431," - ",E431,", ")</f>
        <v>2/core PVC Alumn. Cable scrap - 0.488, </v>
      </c>
      <c r="H431" s="325"/>
      <c r="I431" s="129" t="str">
        <f ca="1">IF(J430&gt;=3,(MID(I430,2,1)&amp;MID(I430,4,3)-K430),CELL("address",Z431))</f>
        <v>G432</v>
      </c>
      <c r="J431" s="129" t="str">
        <f ca="1">IF(J430&gt;=4,(MID(I431,1,1)&amp;MID(I431,2,3)+1),CELL("address",AA431))</f>
        <v>G433</v>
      </c>
      <c r="K431" s="129" t="str">
        <f ca="1">IF(J430&gt;=5,(MID(J431,1,1)&amp;MID(J431,2,3)+1),CELL("address",AB431))</f>
        <v>G434</v>
      </c>
      <c r="L431" s="129" t="str">
        <f ca="1">IF(J430&gt;=6,(MID(K431,1,1)&amp;MID(K431,2,3)+1),CELL("address",AC431))</f>
        <v>G435</v>
      </c>
      <c r="M431" s="129" t="str">
        <f ca="1">IF(J430&gt;=7,(MID(L431,1,1)&amp;MID(L431,2,3)+1),CELL("address",AD431))</f>
        <v>$AD$431</v>
      </c>
      <c r="N431" s="129" t="str">
        <f ca="1">IF(J430&gt;=8,(MID(M431,1,1)&amp;MID(M431,2,3)+1),CELL("address",AE431))</f>
        <v>$AE$431</v>
      </c>
      <c r="O431" s="129" t="str">
        <f ca="1">IF(J430&gt;=9,(MID(N431,1,1)&amp;MID(N431,2,3)+1),CELL("address",AF431))</f>
        <v>$AF$431</v>
      </c>
      <c r="P431" s="129" t="str">
        <f ca="1">IF(J430&gt;=10,(MID(O431,1,1)&amp;MID(O431,2,3)+1),CELL("address",AG431))</f>
        <v>$AG$431</v>
      </c>
      <c r="Q431" s="129" t="str">
        <f ca="1">IF(J430&gt;=11,(MID(P431,1,1)&amp;MID(P431,2,3)+1),CELL("address",AH431))</f>
        <v>$AH$431</v>
      </c>
      <c r="R431" s="129" t="str">
        <f ca="1">IF(J430&gt;=12,(MID(Q431,1,1)&amp;MID(Q431,2,3)+1),CELL("address",AI431))</f>
        <v>$AI$431</v>
      </c>
    </row>
    <row r="432" spans="1:8" ht="15" customHeight="1">
      <c r="A432" s="303"/>
      <c r="B432" s="303"/>
      <c r="C432" s="303"/>
      <c r="D432" s="50" t="s">
        <v>92</v>
      </c>
      <c r="E432" s="51">
        <v>0.928</v>
      </c>
      <c r="G432" s="120" t="str">
        <f>CONCATENATE(D432," - ",E432,", ")</f>
        <v>4/core PVC Alumn. Cable scrap - 0.928, </v>
      </c>
      <c r="H432" s="133"/>
    </row>
    <row r="433" spans="1:8" ht="15" customHeight="1">
      <c r="A433" s="303"/>
      <c r="B433" s="303"/>
      <c r="C433" s="303"/>
      <c r="D433" s="50" t="s">
        <v>93</v>
      </c>
      <c r="E433" s="52">
        <v>2.822</v>
      </c>
      <c r="G433" s="120" t="str">
        <f>CONCATENATE(D433," - ",E433,", ")</f>
        <v>3/ core XLPE Alu cable scrap - 2.822, </v>
      </c>
      <c r="H433" s="133"/>
    </row>
    <row r="434" spans="1:8" ht="15" customHeight="1">
      <c r="A434" s="303"/>
      <c r="B434" s="303"/>
      <c r="C434" s="303"/>
      <c r="D434" s="50" t="s">
        <v>98</v>
      </c>
      <c r="E434" s="52">
        <v>0.018</v>
      </c>
      <c r="G434" s="120" t="str">
        <f>CONCATENATE(D434," - ",E434,", ")</f>
        <v>1/ core XLPE Alu cable scrap - 0.018, </v>
      </c>
      <c r="H434" s="133"/>
    </row>
    <row r="435" spans="1:8" ht="15" customHeight="1">
      <c r="A435" s="44"/>
      <c r="B435" s="157"/>
      <c r="C435" s="71"/>
      <c r="D435" s="158"/>
      <c r="E435" s="159"/>
      <c r="G435" s="120"/>
      <c r="H435" s="133"/>
    </row>
    <row r="436" spans="1:8" ht="15" customHeight="1">
      <c r="A436" s="44"/>
      <c r="B436" s="242"/>
      <c r="C436" s="243"/>
      <c r="D436" s="236"/>
      <c r="E436" s="49">
        <f>SUM(E438:E444)</f>
        <v>3.5669999999999997</v>
      </c>
      <c r="G436" s="120"/>
      <c r="H436" s="133"/>
    </row>
    <row r="437" spans="1:18" ht="15" customHeight="1">
      <c r="A437" s="85" t="s">
        <v>5</v>
      </c>
      <c r="B437" s="316" t="s">
        <v>17</v>
      </c>
      <c r="C437" s="317"/>
      <c r="D437" s="229" t="s">
        <v>18</v>
      </c>
      <c r="E437" s="45" t="s">
        <v>7</v>
      </c>
      <c r="G437" s="122" t="str">
        <f>CONCATENATE("Cable Scrap, Lying at ",B438,". Quantity in MT - ")</f>
        <v>Cable Scrap, Lying at CS Sangrur. Quantity in MT - </v>
      </c>
      <c r="H437" s="325" t="str">
        <f ca="1">CONCATENATE(G437,G438,(INDIRECT(I438)),(INDIRECT(J438)),(INDIRECT(K438)),(INDIRECT(L438)),(INDIRECT(M438)),(INDIRECT(N438)),(INDIRECT(O438)),(INDIRECT(P438)),(INDIRECT(Q438)),(INDIRECT(R438)),".")</f>
        <v>Cable Scrap, Lying at CS Sangrur. Quantity in MT - 2/core PVC Alumn. Cable scrap - 0.238, 4/core PVC Alumn. Cable scrap - 0.401, 3/ core XLPE Alu cable scrap - 2.212, Lead seal scrap with lash wire - 0.021, ABC cable scrap (70/95 mm) - 0.565, 1/core PVC Alumn. Cable scrap - 0.065, 1/ core XLPE Alu cable scrap - 0.065, .</v>
      </c>
      <c r="I437" s="129" t="str">
        <f aca="true" ca="1" t="array" ref="I437">CELL("address",INDEX(G437:G488,MATCH(TRUE,ISBLANK(G437:G488),0)))</f>
        <v>$G$445</v>
      </c>
      <c r="J437" s="129">
        <f aca="true" t="array" ref="J437">MATCH(TRUE,ISBLANK(G437:G488),0)</f>
        <v>9</v>
      </c>
      <c r="K437" s="129">
        <f>J437-3</f>
        <v>6</v>
      </c>
      <c r="L437" s="129"/>
      <c r="M437" s="129"/>
      <c r="N437" s="129"/>
      <c r="O437" s="129"/>
      <c r="P437" s="129"/>
      <c r="Q437" s="129"/>
      <c r="R437" s="129"/>
    </row>
    <row r="438" spans="1:18" ht="15" customHeight="1">
      <c r="A438" s="303" t="s">
        <v>215</v>
      </c>
      <c r="B438" s="303" t="s">
        <v>80</v>
      </c>
      <c r="C438" s="303"/>
      <c r="D438" s="100" t="s">
        <v>91</v>
      </c>
      <c r="E438" s="51">
        <v>0.238</v>
      </c>
      <c r="G438" s="120" t="str">
        <f aca="true" t="shared" si="2" ref="G438:G444">CONCATENATE(D438," - ",E438,", ")</f>
        <v>2/core PVC Alumn. Cable scrap - 0.238, </v>
      </c>
      <c r="H438" s="325"/>
      <c r="I438" s="129" t="str">
        <f ca="1">IF(J437&gt;=3,(MID(I437,2,1)&amp;MID(I437,4,3)-K437),CELL("address",Z438))</f>
        <v>G439</v>
      </c>
      <c r="J438" s="129" t="str">
        <f ca="1">IF(J437&gt;=4,(MID(I438,1,1)&amp;MID(I438,2,3)+1),CELL("address",AA438))</f>
        <v>G440</v>
      </c>
      <c r="K438" s="129" t="str">
        <f ca="1">IF(J437&gt;=5,(MID(J438,1,1)&amp;MID(J438,2,3)+1),CELL("address",AB438))</f>
        <v>G441</v>
      </c>
      <c r="L438" s="129" t="str">
        <f ca="1">IF(J437&gt;=6,(MID(K438,1,1)&amp;MID(K438,2,3)+1),CELL("address",AC438))</f>
        <v>G442</v>
      </c>
      <c r="M438" s="129" t="str">
        <f ca="1">IF(J437&gt;=7,(MID(L438,1,1)&amp;MID(L438,2,3)+1),CELL("address",AD438))</f>
        <v>G443</v>
      </c>
      <c r="N438" s="129" t="str">
        <f ca="1">IF(J437&gt;=8,(MID(M438,1,1)&amp;MID(M438,2,3)+1),CELL("address",AE438))</f>
        <v>G444</v>
      </c>
      <c r="O438" s="129" t="str">
        <f ca="1">IF(J437&gt;=9,(MID(N438,1,1)&amp;MID(N438,2,3)+1),CELL("address",AF438))</f>
        <v>G445</v>
      </c>
      <c r="P438" s="129" t="str">
        <f ca="1">IF(J437&gt;=10,(MID(O438,1,1)&amp;MID(O438,2,3)+1),CELL("address",AG438))</f>
        <v>$AG$438</v>
      </c>
      <c r="Q438" s="129" t="str">
        <f ca="1">IF(J437&gt;=11,(MID(P438,1,1)&amp;MID(P438,2,3)+1),CELL("address",AH438))</f>
        <v>$AH$438</v>
      </c>
      <c r="R438" s="129" t="str">
        <f ca="1">IF(J437&gt;=12,(MID(Q438,1,1)&amp;MID(Q438,2,3)+1),CELL("address",AI438))</f>
        <v>$AI$438</v>
      </c>
    </row>
    <row r="439" spans="1:8" ht="15" customHeight="1">
      <c r="A439" s="303"/>
      <c r="B439" s="303"/>
      <c r="C439" s="303"/>
      <c r="D439" s="100" t="s">
        <v>92</v>
      </c>
      <c r="E439" s="51">
        <v>0.401</v>
      </c>
      <c r="G439" s="120" t="str">
        <f t="shared" si="2"/>
        <v>4/core PVC Alumn. Cable scrap - 0.401, </v>
      </c>
      <c r="H439" s="133"/>
    </row>
    <row r="440" spans="1:8" ht="15" customHeight="1">
      <c r="A440" s="303"/>
      <c r="B440" s="303"/>
      <c r="C440" s="303"/>
      <c r="D440" s="100" t="s">
        <v>93</v>
      </c>
      <c r="E440" s="51">
        <v>2.212</v>
      </c>
      <c r="G440" s="120" t="str">
        <f t="shared" si="2"/>
        <v>3/ core XLPE Alu cable scrap - 2.212, </v>
      </c>
      <c r="H440" s="133"/>
    </row>
    <row r="441" spans="1:8" ht="15" customHeight="1">
      <c r="A441" s="303"/>
      <c r="B441" s="303"/>
      <c r="C441" s="303"/>
      <c r="D441" s="100" t="s">
        <v>192</v>
      </c>
      <c r="E441" s="50">
        <v>0.021</v>
      </c>
      <c r="G441" s="120" t="str">
        <f t="shared" si="2"/>
        <v>Lead seal scrap with lash wire - 0.021, </v>
      </c>
      <c r="H441" s="133"/>
    </row>
    <row r="442" spans="1:8" ht="15" customHeight="1">
      <c r="A442" s="303"/>
      <c r="B442" s="303"/>
      <c r="C442" s="303"/>
      <c r="D442" s="251" t="s">
        <v>172</v>
      </c>
      <c r="E442" s="52">
        <v>0.565</v>
      </c>
      <c r="G442" s="120" t="str">
        <f t="shared" si="2"/>
        <v>ABC cable scrap (70/95 mm) - 0.565, </v>
      </c>
      <c r="H442" s="133"/>
    </row>
    <row r="443" spans="1:8" ht="15" customHeight="1">
      <c r="A443" s="303"/>
      <c r="B443" s="303"/>
      <c r="C443" s="303"/>
      <c r="D443" s="100" t="s">
        <v>175</v>
      </c>
      <c r="E443" s="52">
        <v>0.065</v>
      </c>
      <c r="G443" s="120" t="str">
        <f t="shared" si="2"/>
        <v>1/core PVC Alumn. Cable scrap - 0.065, </v>
      </c>
      <c r="H443" s="133"/>
    </row>
    <row r="444" spans="1:8" ht="15" customHeight="1">
      <c r="A444" s="303"/>
      <c r="B444" s="303"/>
      <c r="C444" s="303"/>
      <c r="D444" s="100" t="s">
        <v>98</v>
      </c>
      <c r="E444" s="52">
        <v>0.065</v>
      </c>
      <c r="G444" s="120" t="str">
        <f t="shared" si="2"/>
        <v>1/ core XLPE Alu cable scrap - 0.065, </v>
      </c>
      <c r="H444" s="133"/>
    </row>
    <row r="445" spans="1:8" ht="15" customHeight="1">
      <c r="A445" s="55"/>
      <c r="B445" s="157"/>
      <c r="C445" s="71"/>
      <c r="D445" s="86"/>
      <c r="E445" s="52"/>
      <c r="G445" s="120"/>
      <c r="H445" s="133"/>
    </row>
    <row r="446" spans="1:8" ht="15" customHeight="1">
      <c r="A446" s="44"/>
      <c r="B446" s="242"/>
      <c r="C446" s="243"/>
      <c r="D446" s="236" t="s">
        <v>260</v>
      </c>
      <c r="E446" s="49">
        <f>SUM(E448:E451)</f>
        <v>1.0639999999999998</v>
      </c>
      <c r="G446" s="120"/>
      <c r="H446" s="133"/>
    </row>
    <row r="447" spans="1:18" ht="15" customHeight="1">
      <c r="A447" s="45" t="s">
        <v>5</v>
      </c>
      <c r="B447" s="308" t="s">
        <v>17</v>
      </c>
      <c r="C447" s="326"/>
      <c r="D447" s="229" t="s">
        <v>18</v>
      </c>
      <c r="E447" s="45" t="s">
        <v>7</v>
      </c>
      <c r="G447" s="122" t="str">
        <f>CONCATENATE("Cable Scrap, Lying at ",B448,". Quantity in MT - ")</f>
        <v>Cable Scrap, Lying at CS Mohali. Quantity in MT - </v>
      </c>
      <c r="H447" s="325" t="str">
        <f ca="1">CONCATENATE(G447,G448,(INDIRECT(I448)),(INDIRECT(J448)),(INDIRECT(K448)),(INDIRECT(L448)),(INDIRECT(M448)),(INDIRECT(N448)),(INDIRECT(O448)),(INDIRECT(P448)),(INDIRECT(Q448)),(INDIRECT(R448)),".")</f>
        <v>Cable Scrap, Lying at CS Mohali. Quantity in MT - 4/core PVC Alumn. Cable scrap - 0.649, 3/ core XLPE Alu cable scrap - 0.208, 1/core PVC Alumn. Cable scrap - 0.158, 2/core PVC Alumn. Cable scrap - 0.049, .</v>
      </c>
      <c r="I447" s="129" t="str">
        <f aca="true" ca="1" t="array" ref="I447">CELL("address",INDEX(G447:G492,MATCH(TRUE,ISBLANK(G447:G492),0)))</f>
        <v>$G$452</v>
      </c>
      <c r="J447" s="129">
        <f aca="true" t="array" ref="J447">MATCH(TRUE,ISBLANK(G447:G492),0)</f>
        <v>6</v>
      </c>
      <c r="K447" s="129">
        <f>J447-3</f>
        <v>3</v>
      </c>
      <c r="L447" s="129"/>
      <c r="M447" s="129"/>
      <c r="N447" s="129"/>
      <c r="O447" s="129"/>
      <c r="P447" s="129"/>
      <c r="Q447" s="129"/>
      <c r="R447" s="129"/>
    </row>
    <row r="448" spans="1:18" ht="15" customHeight="1">
      <c r="A448" s="303" t="s">
        <v>258</v>
      </c>
      <c r="B448" s="303" t="s">
        <v>63</v>
      </c>
      <c r="C448" s="303"/>
      <c r="D448" s="50" t="s">
        <v>92</v>
      </c>
      <c r="E448" s="45">
        <v>0.649</v>
      </c>
      <c r="G448" s="120" t="str">
        <f>CONCATENATE(D448," - ",E448,", ")</f>
        <v>4/core PVC Alumn. Cable scrap - 0.649, </v>
      </c>
      <c r="H448" s="325"/>
      <c r="I448" s="129" t="str">
        <f ca="1">IF(J447&gt;=3,(MID(I447,2,1)&amp;MID(I447,4,3)-K447),CELL("address",Z448))</f>
        <v>G449</v>
      </c>
      <c r="J448" s="129" t="str">
        <f ca="1">IF(J447&gt;=4,(MID(I448,1,1)&amp;MID(I448,2,3)+1),CELL("address",AA448))</f>
        <v>G450</v>
      </c>
      <c r="K448" s="129" t="str">
        <f ca="1">IF(J447&gt;=5,(MID(J448,1,1)&amp;MID(J448,2,3)+1),CELL("address",AB448))</f>
        <v>G451</v>
      </c>
      <c r="L448" s="129" t="str">
        <f ca="1">IF(J447&gt;=6,(MID(K448,1,1)&amp;MID(K448,2,3)+1),CELL("address",AC448))</f>
        <v>G452</v>
      </c>
      <c r="M448" s="129" t="str">
        <f ca="1">IF(J447&gt;=7,(MID(L448,1,1)&amp;MID(L448,2,3)+1),CELL("address",AD448))</f>
        <v>$AD$448</v>
      </c>
      <c r="N448" s="129" t="str">
        <f ca="1">IF(J447&gt;=8,(MID(M448,1,1)&amp;MID(M448,2,3)+1),CELL("address",AE448))</f>
        <v>$AE$448</v>
      </c>
      <c r="O448" s="129" t="str">
        <f ca="1">IF(J447&gt;=9,(MID(N448,1,1)&amp;MID(N448,2,3)+1),CELL("address",AF448))</f>
        <v>$AF$448</v>
      </c>
      <c r="P448" s="129" t="str">
        <f ca="1">IF(J447&gt;=10,(MID(O448,1,1)&amp;MID(O448,2,3)+1),CELL("address",AG448))</f>
        <v>$AG$448</v>
      </c>
      <c r="Q448" s="129" t="str">
        <f ca="1">IF(J447&gt;=11,(MID(P448,1,1)&amp;MID(P448,2,3)+1),CELL("address",AH448))</f>
        <v>$AH$448</v>
      </c>
      <c r="R448" s="129" t="str">
        <f ca="1">IF(J447&gt;=12,(MID(Q448,1,1)&amp;MID(Q448,2,3)+1),CELL("address",AI448))</f>
        <v>$AI$448</v>
      </c>
    </row>
    <row r="449" spans="1:8" ht="15" customHeight="1">
      <c r="A449" s="303"/>
      <c r="B449" s="303"/>
      <c r="C449" s="303"/>
      <c r="D449" s="50" t="s">
        <v>93</v>
      </c>
      <c r="E449" s="51">
        <v>0.208</v>
      </c>
      <c r="G449" s="120" t="str">
        <f>CONCATENATE(D449," - ",E449,", ")</f>
        <v>3/ core XLPE Alu cable scrap - 0.208, </v>
      </c>
      <c r="H449" s="133"/>
    </row>
    <row r="450" spans="1:8" ht="15" customHeight="1">
      <c r="A450" s="303"/>
      <c r="B450" s="303"/>
      <c r="C450" s="303"/>
      <c r="D450" s="50" t="s">
        <v>175</v>
      </c>
      <c r="E450" s="51">
        <v>0.158</v>
      </c>
      <c r="G450" s="120" t="str">
        <f>CONCATENATE(D450," - ",E450,", ")</f>
        <v>1/core PVC Alumn. Cable scrap - 0.158, </v>
      </c>
      <c r="H450" s="133"/>
    </row>
    <row r="451" spans="1:8" ht="15" customHeight="1">
      <c r="A451" s="303"/>
      <c r="B451" s="303"/>
      <c r="C451" s="303"/>
      <c r="D451" s="50" t="s">
        <v>91</v>
      </c>
      <c r="E451" s="51">
        <v>0.049</v>
      </c>
      <c r="G451" s="120" t="str">
        <f>CONCATENATE(D451," - ",E451,", ")</f>
        <v>2/core PVC Alumn. Cable scrap - 0.049, </v>
      </c>
      <c r="H451" s="133"/>
    </row>
    <row r="452" spans="1:8" ht="15" customHeight="1">
      <c r="A452" s="57"/>
      <c r="B452" s="60"/>
      <c r="C452" s="128"/>
      <c r="D452" s="38"/>
      <c r="E452" s="231"/>
      <c r="G452" s="120"/>
      <c r="H452" s="133"/>
    </row>
    <row r="453" spans="1:8" ht="15" customHeight="1">
      <c r="A453" s="45"/>
      <c r="B453" s="305"/>
      <c r="C453" s="306"/>
      <c r="D453" s="232"/>
      <c r="E453" s="58">
        <f>SUM(E455:E457)</f>
        <v>1.393</v>
      </c>
      <c r="G453" s="120"/>
      <c r="H453" s="133"/>
    </row>
    <row r="454" spans="1:18" ht="15" customHeight="1">
      <c r="A454" s="45" t="s">
        <v>5</v>
      </c>
      <c r="B454" s="303" t="s">
        <v>17</v>
      </c>
      <c r="C454" s="303"/>
      <c r="D454" s="228" t="s">
        <v>18</v>
      </c>
      <c r="E454" s="45" t="s">
        <v>7</v>
      </c>
      <c r="G454" s="122" t="str">
        <f>CONCATENATE("Cable Scrap, Lying at ",B455,". Quantity in MT - ")</f>
        <v>Cable Scrap, Lying at OL Fazilka. Quantity in MT - </v>
      </c>
      <c r="H454" s="325" t="str">
        <f ca="1">CONCATENATE(G454,G455,(INDIRECT(I455)),(INDIRECT(J455)),(INDIRECT(K455)),(INDIRECT(L455)),(INDIRECT(M455)),(INDIRECT(N455)),(INDIRECT(O455)),(INDIRECT(P455)),(INDIRECT(Q455)),(INDIRECT(R455)),".")</f>
        <v>Cable Scrap, Lying at OL Fazilka. Quantity in MT - 2/core PVC Alumn. Cable scrap - 0.078, 4/core PVC Alumn. Cable scrap - 0.371, 3/ core XLPE Alu cable scrap - 0.944, .</v>
      </c>
      <c r="I454" s="129" t="str">
        <f aca="true" ca="1" t="array" ref="I454">CELL("address",INDEX(G454:G498,MATCH(TRUE,ISBLANK(G454:G498),0)))</f>
        <v>$G$458</v>
      </c>
      <c r="J454" s="129">
        <f aca="true" t="array" ref="J454">MATCH(TRUE,ISBLANK(G454:G498),0)</f>
        <v>5</v>
      </c>
      <c r="K454" s="129">
        <f>J454-3</f>
        <v>2</v>
      </c>
      <c r="L454" s="129"/>
      <c r="M454" s="129"/>
      <c r="N454" s="129"/>
      <c r="O454" s="129"/>
      <c r="P454" s="129"/>
      <c r="Q454" s="129"/>
      <c r="R454" s="129"/>
    </row>
    <row r="455" spans="1:18" ht="15" customHeight="1">
      <c r="A455" s="303" t="s">
        <v>259</v>
      </c>
      <c r="B455" s="303" t="s">
        <v>114</v>
      </c>
      <c r="C455" s="303"/>
      <c r="D455" s="50" t="s">
        <v>91</v>
      </c>
      <c r="E455" s="51">
        <v>0.078</v>
      </c>
      <c r="G455" s="120" t="str">
        <f>CONCATENATE(D455," - ",E455,", ")</f>
        <v>2/core PVC Alumn. Cable scrap - 0.078, </v>
      </c>
      <c r="H455" s="325"/>
      <c r="I455" s="129" t="str">
        <f ca="1">IF(J454&gt;=3,(MID(I454,2,1)&amp;MID(I454,4,3)-K454),CELL("address",Z455))</f>
        <v>G456</v>
      </c>
      <c r="J455" s="129" t="str">
        <f ca="1">IF(J454&gt;=4,(MID(I455,1,1)&amp;MID(I455,2,3)+1),CELL("address",AA455))</f>
        <v>G457</v>
      </c>
      <c r="K455" s="129" t="str">
        <f ca="1">IF(J454&gt;=5,(MID(J455,1,1)&amp;MID(J455,2,3)+1),CELL("address",AB455))</f>
        <v>G458</v>
      </c>
      <c r="L455" s="129" t="str">
        <f ca="1">IF(J454&gt;=6,(MID(K455,1,1)&amp;MID(K455,2,3)+1),CELL("address",AC455))</f>
        <v>$AC$455</v>
      </c>
      <c r="M455" s="129" t="str">
        <f ca="1">IF(J454&gt;=7,(MID(L455,1,1)&amp;MID(L455,2,3)+1),CELL("address",AD455))</f>
        <v>$AD$455</v>
      </c>
      <c r="N455" s="129" t="str">
        <f ca="1">IF(J454&gt;=8,(MID(M455,1,1)&amp;MID(M455,2,3)+1),CELL("address",AE455))</f>
        <v>$AE$455</v>
      </c>
      <c r="O455" s="129" t="str">
        <f ca="1">IF(J454&gt;=9,(MID(N455,1,1)&amp;MID(N455,2,3)+1),CELL("address",AF455))</f>
        <v>$AF$455</v>
      </c>
      <c r="P455" s="129" t="str">
        <f ca="1">IF(J454&gt;=10,(MID(O455,1,1)&amp;MID(O455,2,3)+1),CELL("address",AG455))</f>
        <v>$AG$455</v>
      </c>
      <c r="Q455" s="129" t="str">
        <f ca="1">IF(J454&gt;=11,(MID(P455,1,1)&amp;MID(P455,2,3)+1),CELL("address",AH455))</f>
        <v>$AH$455</v>
      </c>
      <c r="R455" s="129" t="str">
        <f ca="1">IF(J454&gt;=12,(MID(Q455,1,1)&amp;MID(Q455,2,3)+1),CELL("address",AI455))</f>
        <v>$AI$455</v>
      </c>
    </row>
    <row r="456" spans="1:8" ht="15" customHeight="1">
      <c r="A456" s="303"/>
      <c r="B456" s="303"/>
      <c r="C456" s="303"/>
      <c r="D456" s="50" t="s">
        <v>92</v>
      </c>
      <c r="E456" s="51">
        <v>0.371</v>
      </c>
      <c r="G456" s="120" t="str">
        <f>CONCATENATE(D456," - ",E456,", ")</f>
        <v>4/core PVC Alumn. Cable scrap - 0.371, </v>
      </c>
      <c r="H456" s="133"/>
    </row>
    <row r="457" spans="1:8" ht="15" customHeight="1">
      <c r="A457" s="303"/>
      <c r="B457" s="303"/>
      <c r="C457" s="303"/>
      <c r="D457" s="100" t="s">
        <v>93</v>
      </c>
      <c r="E457" s="51">
        <v>0.944</v>
      </c>
      <c r="G457" s="120" t="str">
        <f>CONCATENATE(D457," - ",E457,", ")</f>
        <v>3/ core XLPE Alu cable scrap - 0.944, </v>
      </c>
      <c r="H457" s="133"/>
    </row>
    <row r="458" spans="1:8" ht="15" customHeight="1">
      <c r="A458" s="44"/>
      <c r="B458" s="46"/>
      <c r="C458" s="47"/>
      <c r="D458" s="50"/>
      <c r="E458" s="51"/>
      <c r="G458" s="120"/>
      <c r="H458" s="133"/>
    </row>
    <row r="459" spans="1:8" ht="15" customHeight="1">
      <c r="A459" s="55"/>
      <c r="B459" s="242"/>
      <c r="C459" s="243"/>
      <c r="D459" s="99"/>
      <c r="E459" s="56">
        <f>SUM(E461:E464)</f>
        <v>2.061</v>
      </c>
      <c r="G459" s="120"/>
      <c r="H459" s="133"/>
    </row>
    <row r="460" spans="1:18" ht="15" customHeight="1">
      <c r="A460" s="45" t="s">
        <v>5</v>
      </c>
      <c r="B460" s="308" t="s">
        <v>17</v>
      </c>
      <c r="C460" s="326"/>
      <c r="D460" s="229" t="s">
        <v>18</v>
      </c>
      <c r="E460" s="45" t="s">
        <v>7</v>
      </c>
      <c r="G460" s="122" t="str">
        <f>CONCATENATE("Cable Scrap, Lying at ",B461,". Quantity in MT - ")</f>
        <v>Cable Scrap, Lying at OL Malerkotla. Quantity in MT - </v>
      </c>
      <c r="H460" s="325" t="str">
        <f ca="1">CONCATENATE(G460,G461,(INDIRECT(I461)),(INDIRECT(J461)),(INDIRECT(K461)),(INDIRECT(L461)),(INDIRECT(M461)),(INDIRECT(N461)),(INDIRECT(O461)),(INDIRECT(P461)),(INDIRECT(Q461)),(INDIRECT(R461)),".")</f>
        <v>Cable Scrap, Lying at OL Malerkotla. Quantity in MT - 2/core PVC Alumn. Cable scrap - 0.297, 4/core PVC Alumn. Cable scrap - 0.547, 3/ core XLPE Alu cable scrap - 0.745, ABC cable scrap (70/95 mm) - 0.472, .</v>
      </c>
      <c r="I460" s="129" t="str">
        <f aca="true" ca="1" t="array" ref="I460">CELL("address",INDEX(G460:G498,MATCH(TRUE,ISBLANK(G460:G498),0)))</f>
        <v>$G$465</v>
      </c>
      <c r="J460" s="129">
        <f aca="true" t="array" ref="J460">MATCH(TRUE,ISBLANK(G460:G498),0)</f>
        <v>6</v>
      </c>
      <c r="K460" s="129">
        <f>J460-3</f>
        <v>3</v>
      </c>
      <c r="L460" s="129"/>
      <c r="M460" s="129"/>
      <c r="N460" s="129"/>
      <c r="O460" s="129"/>
      <c r="P460" s="129"/>
      <c r="Q460" s="129"/>
      <c r="R460" s="129"/>
    </row>
    <row r="461" spans="1:18" ht="15" customHeight="1">
      <c r="A461" s="303" t="s">
        <v>275</v>
      </c>
      <c r="B461" s="303" t="s">
        <v>128</v>
      </c>
      <c r="C461" s="303"/>
      <c r="D461" s="50" t="s">
        <v>91</v>
      </c>
      <c r="E461" s="45">
        <v>0.297</v>
      </c>
      <c r="G461" s="120" t="str">
        <f>CONCATENATE(D461," - ",E461,", ")</f>
        <v>2/core PVC Alumn. Cable scrap - 0.297, </v>
      </c>
      <c r="H461" s="325"/>
      <c r="I461" s="129" t="str">
        <f ca="1">IF(J460&gt;=3,(MID(I460,2,1)&amp;MID(I460,4,3)-K460),CELL("address",Z461))</f>
        <v>G462</v>
      </c>
      <c r="J461" s="129" t="str">
        <f ca="1">IF(J460&gt;=4,(MID(I461,1,1)&amp;MID(I461,2,3)+1),CELL("address",AA461))</f>
        <v>G463</v>
      </c>
      <c r="K461" s="129" t="str">
        <f ca="1">IF(J460&gt;=5,(MID(J461,1,1)&amp;MID(J461,2,3)+1),CELL("address",AB461))</f>
        <v>G464</v>
      </c>
      <c r="L461" s="129" t="str">
        <f ca="1">IF(J460&gt;=6,(MID(K461,1,1)&amp;MID(K461,2,3)+1),CELL("address",AC461))</f>
        <v>G465</v>
      </c>
      <c r="M461" s="129" t="str">
        <f ca="1">IF(J460&gt;=7,(MID(L461,1,1)&amp;MID(L461,2,3)+1),CELL("address",AD461))</f>
        <v>$AD$461</v>
      </c>
      <c r="N461" s="129" t="str">
        <f ca="1">IF(J460&gt;=8,(MID(M461,1,1)&amp;MID(M461,2,3)+1),CELL("address",AE461))</f>
        <v>$AE$461</v>
      </c>
      <c r="O461" s="129" t="str">
        <f ca="1">IF(J460&gt;=9,(MID(N461,1,1)&amp;MID(N461,2,3)+1),CELL("address",AF461))</f>
        <v>$AF$461</v>
      </c>
      <c r="P461" s="129" t="str">
        <f ca="1">IF(J460&gt;=10,(MID(O461,1,1)&amp;MID(O461,2,3)+1),CELL("address",AG461))</f>
        <v>$AG$461</v>
      </c>
      <c r="Q461" s="129" t="str">
        <f ca="1">IF(J460&gt;=11,(MID(P461,1,1)&amp;MID(P461,2,3)+1),CELL("address",AH461))</f>
        <v>$AH$461</v>
      </c>
      <c r="R461" s="129" t="str">
        <f ca="1">IF(J460&gt;=12,(MID(Q461,1,1)&amp;MID(Q461,2,3)+1),CELL("address",AI461))</f>
        <v>$AI$461</v>
      </c>
    </row>
    <row r="462" spans="1:8" ht="15" customHeight="1">
      <c r="A462" s="303"/>
      <c r="B462" s="303"/>
      <c r="C462" s="303"/>
      <c r="D462" s="50" t="s">
        <v>92</v>
      </c>
      <c r="E462" s="51">
        <v>0.547</v>
      </c>
      <c r="G462" s="120" t="str">
        <f>CONCATENATE(D462," - ",E462,", ")</f>
        <v>4/core PVC Alumn. Cable scrap - 0.547, </v>
      </c>
      <c r="H462" s="133"/>
    </row>
    <row r="463" spans="1:8" ht="15" customHeight="1">
      <c r="A463" s="303"/>
      <c r="B463" s="303"/>
      <c r="C463" s="303"/>
      <c r="D463" s="50" t="s">
        <v>93</v>
      </c>
      <c r="E463" s="51">
        <v>0.745</v>
      </c>
      <c r="G463" s="120" t="str">
        <f>CONCATENATE(D463," - ",E463,", ")</f>
        <v>3/ core XLPE Alu cable scrap - 0.745, </v>
      </c>
      <c r="H463" s="133"/>
    </row>
    <row r="464" spans="1:8" ht="15" customHeight="1">
      <c r="A464" s="303"/>
      <c r="B464" s="303"/>
      <c r="C464" s="303"/>
      <c r="D464" s="86" t="s">
        <v>172</v>
      </c>
      <c r="E464" s="87">
        <v>0.472</v>
      </c>
      <c r="G464" s="120" t="str">
        <f>CONCATENATE(D464," - ",E464,", ")</f>
        <v>ABC cable scrap (70/95 mm) - 0.472, </v>
      </c>
      <c r="H464" s="133"/>
    </row>
    <row r="465" spans="1:8" ht="15" customHeight="1">
      <c r="A465" s="44"/>
      <c r="B465" s="46"/>
      <c r="C465" s="47"/>
      <c r="D465" s="93"/>
      <c r="E465" s="94"/>
      <c r="G465" s="120"/>
      <c r="H465" s="133"/>
    </row>
    <row r="466" spans="1:8" ht="15" customHeight="1">
      <c r="A466" s="55"/>
      <c r="B466" s="242"/>
      <c r="C466" s="243"/>
      <c r="D466" s="99"/>
      <c r="E466" s="56">
        <f>SUM(E468:E471)</f>
        <v>4.893000000000001</v>
      </c>
      <c r="G466" s="120"/>
      <c r="H466" s="133"/>
    </row>
    <row r="467" spans="1:18" ht="15" customHeight="1">
      <c r="A467" s="45" t="s">
        <v>5</v>
      </c>
      <c r="B467" s="308" t="s">
        <v>17</v>
      </c>
      <c r="C467" s="326"/>
      <c r="D467" s="229" t="s">
        <v>18</v>
      </c>
      <c r="E467" s="45" t="s">
        <v>7</v>
      </c>
      <c r="G467" s="122" t="str">
        <f>CONCATENATE("Cable Scrap, Lying at ",B468,". Quantity in MT - ")</f>
        <v>Cable Scrap, Lying at OL Moga. Quantity in MT - </v>
      </c>
      <c r="H467" s="325" t="str">
        <f ca="1">CONCATENATE(G467,G468,(INDIRECT(I468)),(INDIRECT(J468)),(INDIRECT(K468)),(INDIRECT(L468)),(INDIRECT(M468)),(INDIRECT(N468)),(INDIRECT(O468)),(INDIRECT(P468)),(INDIRECT(Q468)),(INDIRECT(R468)),".")</f>
        <v>Cable Scrap, Lying at OL Moga. Quantity in MT - 2/core PVC Alumn. Cable scrap - 1.19, 4/core PVC Alumn. Cable scrap - 1.989, 1/ core XLPE Alu cable scrap - 0.239, 3/ core XLPE Alu cable scrap - 1.475, .</v>
      </c>
      <c r="I467" s="129" t="str">
        <f aca="true" ca="1" t="array" ref="I467">CELL("address",INDEX(G467:G504,MATCH(TRUE,ISBLANK(G467:G504),0)))</f>
        <v>$G$472</v>
      </c>
      <c r="J467" s="129">
        <f aca="true" t="array" ref="J467">MATCH(TRUE,ISBLANK(G467:G504),0)</f>
        <v>6</v>
      </c>
      <c r="K467" s="129">
        <f>J467-3</f>
        <v>3</v>
      </c>
      <c r="L467" s="129"/>
      <c r="M467" s="129"/>
      <c r="N467" s="129"/>
      <c r="O467" s="129"/>
      <c r="P467" s="129"/>
      <c r="Q467" s="129"/>
      <c r="R467" s="129"/>
    </row>
    <row r="468" spans="1:18" ht="15" customHeight="1">
      <c r="A468" s="327" t="s">
        <v>279</v>
      </c>
      <c r="B468" s="303" t="s">
        <v>280</v>
      </c>
      <c r="C468" s="303"/>
      <c r="D468" s="38" t="s">
        <v>91</v>
      </c>
      <c r="E468" s="232">
        <v>1.19</v>
      </c>
      <c r="F468" s="1">
        <v>1.131</v>
      </c>
      <c r="G468" s="120" t="str">
        <f>CONCATENATE(D468," - ",E468,", ")</f>
        <v>2/core PVC Alumn. Cable scrap - 1.19, </v>
      </c>
      <c r="H468" s="325"/>
      <c r="I468" s="129" t="str">
        <f ca="1">IF(J467&gt;=3,(MID(I467,2,1)&amp;MID(I467,4,3)-K467),CELL("address",Z468))</f>
        <v>G469</v>
      </c>
      <c r="J468" s="129" t="str">
        <f ca="1">IF(J467&gt;=4,(MID(I468,1,1)&amp;MID(I468,2,3)+1),CELL("address",AA468))</f>
        <v>G470</v>
      </c>
      <c r="K468" s="129" t="str">
        <f ca="1">IF(J467&gt;=5,(MID(J468,1,1)&amp;MID(J468,2,3)+1),CELL("address",AB468))</f>
        <v>G471</v>
      </c>
      <c r="L468" s="129" t="str">
        <f ca="1">IF(J467&gt;=6,(MID(K468,1,1)&amp;MID(K468,2,3)+1),CELL("address",AC468))</f>
        <v>G472</v>
      </c>
      <c r="M468" s="129" t="str">
        <f ca="1">IF(J467&gt;=7,(MID(L468,1,1)&amp;MID(L468,2,3)+1),CELL("address",AD468))</f>
        <v>$AD$468</v>
      </c>
      <c r="N468" s="129" t="str">
        <f ca="1">IF(J467&gt;=8,(MID(M468,1,1)&amp;MID(M468,2,3)+1),CELL("address",AE468))</f>
        <v>$AE$468</v>
      </c>
      <c r="O468" s="129" t="str">
        <f ca="1">IF(J467&gt;=9,(MID(N468,1,1)&amp;MID(N468,2,3)+1),CELL("address",AF468))</f>
        <v>$AF$468</v>
      </c>
      <c r="P468" s="129" t="str">
        <f ca="1">IF(J467&gt;=10,(MID(O468,1,1)&amp;MID(O468,2,3)+1),CELL("address",AG468))</f>
        <v>$AG$468</v>
      </c>
      <c r="Q468" s="129" t="str">
        <f ca="1">IF(J467&gt;=11,(MID(P468,1,1)&amp;MID(P468,2,3)+1),CELL("address",AH468))</f>
        <v>$AH$468</v>
      </c>
      <c r="R468" s="129" t="str">
        <f ca="1">IF(J467&gt;=12,(MID(Q468,1,1)&amp;MID(Q468,2,3)+1),CELL("address",AI468))</f>
        <v>$AI$468</v>
      </c>
    </row>
    <row r="469" spans="1:8" ht="15" customHeight="1">
      <c r="A469" s="327"/>
      <c r="B469" s="303"/>
      <c r="C469" s="303"/>
      <c r="D469" s="38" t="s">
        <v>92</v>
      </c>
      <c r="E469" s="231">
        <v>1.989</v>
      </c>
      <c r="F469" s="1">
        <v>1.778</v>
      </c>
      <c r="G469" s="120" t="str">
        <f>CONCATENATE(D469," - ",E469,", ")</f>
        <v>4/core PVC Alumn. Cable scrap - 1.989, </v>
      </c>
      <c r="H469" s="133"/>
    </row>
    <row r="470" spans="1:8" ht="15" customHeight="1">
      <c r="A470" s="327"/>
      <c r="B470" s="303"/>
      <c r="C470" s="303"/>
      <c r="D470" s="38" t="s">
        <v>98</v>
      </c>
      <c r="E470" s="231">
        <v>0.239</v>
      </c>
      <c r="F470" s="1">
        <v>0.215</v>
      </c>
      <c r="G470" s="120" t="str">
        <f>CONCATENATE(D470," - ",E470,", ")</f>
        <v>1/ core XLPE Alu cable scrap - 0.239, </v>
      </c>
      <c r="H470" s="133"/>
    </row>
    <row r="471" spans="1:8" ht="15" customHeight="1">
      <c r="A471" s="327"/>
      <c r="B471" s="303"/>
      <c r="C471" s="303"/>
      <c r="D471" s="38" t="s">
        <v>93</v>
      </c>
      <c r="E471" s="94">
        <v>1.475</v>
      </c>
      <c r="F471" s="1">
        <v>1.38</v>
      </c>
      <c r="G471" s="120" t="str">
        <f>CONCATENATE(D471," - ",E471,", ")</f>
        <v>3/ core XLPE Alu cable scrap - 1.475, </v>
      </c>
      <c r="H471" s="133"/>
    </row>
    <row r="472" spans="1:8" ht="15" customHeight="1">
      <c r="A472" s="44"/>
      <c r="B472" s="46"/>
      <c r="C472" s="47"/>
      <c r="D472" s="38"/>
      <c r="E472" s="94"/>
      <c r="G472" s="120"/>
      <c r="H472" s="133"/>
    </row>
    <row r="473" spans="1:8" ht="15" customHeight="1">
      <c r="A473" s="13" t="s">
        <v>13</v>
      </c>
      <c r="B473" s="14"/>
      <c r="C473" s="10"/>
      <c r="D473" s="38"/>
      <c r="E473" s="39"/>
      <c r="G473" s="120"/>
      <c r="H473" s="133"/>
    </row>
    <row r="474" spans="1:8" ht="15" customHeight="1">
      <c r="A474" s="59"/>
      <c r="B474" s="60"/>
      <c r="C474" s="61"/>
      <c r="D474" s="61"/>
      <c r="E474" s="62">
        <f>SUM(E476:E477)</f>
        <v>22.312</v>
      </c>
      <c r="F474" s="227">
        <f>E490+E506+E510+E526</f>
        <v>227.652</v>
      </c>
      <c r="G474" s="120"/>
      <c r="H474" s="133"/>
    </row>
    <row r="475" spans="1:18" ht="15" customHeight="1">
      <c r="A475" s="303" t="s">
        <v>5</v>
      </c>
      <c r="B475" s="303"/>
      <c r="C475" s="63" t="s">
        <v>17</v>
      </c>
      <c r="D475" s="228" t="s">
        <v>18</v>
      </c>
      <c r="E475" s="45" t="s">
        <v>7</v>
      </c>
      <c r="G475" s="122" t="str">
        <f>CONCATENATE("Misc. Iron Scrap, Lying at ",C476,". Quantity in MT - ")</f>
        <v>Misc. Iron Scrap, Lying at Pilot W/Shop Sri Muktsar Sahib. Quantity in MT - </v>
      </c>
      <c r="H475" s="325" t="str">
        <f ca="1">CONCATENATE(G475,G476,(INDIRECT(I476)),(INDIRECT(J476)),(INDIRECT(K476)),(INDIRECT(L476)),(INDIRECT(M476)),(INDIRECT(N476)),(INDIRECT(O476)),(INDIRECT(P476)),(INDIRECT(Q476)),(INDIRECT(R476)),".")</f>
        <v>Misc. Iron Scrap, Lying at Pilot W/Shop Sri Muktsar Sahib. Quantity in MT - MS iron scrap / GI scrap - 10.182, HT wire scrap off size - 12.13, .</v>
      </c>
      <c r="I475" s="129" t="str">
        <f aca="true" ca="1" t="array" ref="I475">CELL("address",INDEX(G475:G493,MATCH(TRUE,ISBLANK(G475:G493),0)))</f>
        <v>$G$478</v>
      </c>
      <c r="J475" s="129">
        <f aca="true" t="array" ref="J475">MATCH(TRUE,ISBLANK(G475:G493),0)</f>
        <v>4</v>
      </c>
      <c r="K475" s="129">
        <f>J475-3</f>
        <v>1</v>
      </c>
      <c r="L475" s="129"/>
      <c r="M475" s="129"/>
      <c r="N475" s="129"/>
      <c r="O475" s="129"/>
      <c r="P475" s="129"/>
      <c r="Q475" s="129"/>
      <c r="R475" s="129"/>
    </row>
    <row r="476" spans="1:18" ht="15" customHeight="1">
      <c r="A476" s="316" t="s">
        <v>21</v>
      </c>
      <c r="B476" s="392"/>
      <c r="C476" s="315" t="s">
        <v>19</v>
      </c>
      <c r="D476" s="45" t="s">
        <v>20</v>
      </c>
      <c r="E476" s="51">
        <v>10.182</v>
      </c>
      <c r="G476" s="120" t="str">
        <f>CONCATENATE(D476," - ",E476,", ")</f>
        <v>MS iron scrap / GI scrap - 10.182, </v>
      </c>
      <c r="H476" s="325"/>
      <c r="I476" s="129" t="str">
        <f ca="1">IF(J475&gt;=3,(MID(I475,2,1)&amp;MID(I475,4,3)-K475),CELL("address",Z476))</f>
        <v>G477</v>
      </c>
      <c r="J476" s="129" t="str">
        <f ca="1">IF(J475&gt;=4,(MID(I476,1,1)&amp;MID(I476,2,3)+1),CELL("address",AA476))</f>
        <v>G478</v>
      </c>
      <c r="K476" s="129" t="str">
        <f ca="1">IF(J475&gt;=5,(MID(J476,1,1)&amp;MID(J476,2,3)+1),CELL("address",AB476))</f>
        <v>$AB$476</v>
      </c>
      <c r="L476" s="129" t="str">
        <f ca="1">IF(J475&gt;=6,(MID(K476,1,1)&amp;MID(K476,2,3)+1),CELL("address",AC476))</f>
        <v>$AC$476</v>
      </c>
      <c r="M476" s="129" t="str">
        <f ca="1">IF(J475&gt;=7,(MID(L476,1,1)&amp;MID(L476,2,3)+1),CELL("address",AD476))</f>
        <v>$AD$476</v>
      </c>
      <c r="N476" s="129" t="str">
        <f ca="1">IF(J475&gt;=8,(MID(M476,1,1)&amp;MID(M476,2,3)+1),CELL("address",AE476))</f>
        <v>$AE$476</v>
      </c>
      <c r="O476" s="129" t="str">
        <f ca="1">IF(J475&gt;=9,(MID(N476,1,1)&amp;MID(N476,2,3)+1),CELL("address",AF476))</f>
        <v>$AF$476</v>
      </c>
      <c r="P476" s="129" t="str">
        <f ca="1">IF(J475&gt;=10,(MID(O476,1,1)&amp;MID(O476,2,3)+1),CELL("address",AG476))</f>
        <v>$AG$476</v>
      </c>
      <c r="Q476" s="129" t="str">
        <f ca="1">IF(J475&gt;=11,(MID(P476,1,1)&amp;MID(P476,2,3)+1),CELL("address",AH476))</f>
        <v>$AH$476</v>
      </c>
      <c r="R476" s="129" t="str">
        <f ca="1">IF(J475&gt;=12,(MID(Q476,1,1)&amp;MID(Q476,2,3)+1),CELL("address",AI476))</f>
        <v>$AI$476</v>
      </c>
    </row>
    <row r="477" spans="1:8" ht="15" customHeight="1">
      <c r="A477" s="373"/>
      <c r="B477" s="374"/>
      <c r="C477" s="344"/>
      <c r="D477" s="45" t="s">
        <v>72</v>
      </c>
      <c r="E477" s="51">
        <v>12.13</v>
      </c>
      <c r="G477" s="120" t="str">
        <f>CONCATENATE(D477," - ",E477,", ")</f>
        <v>HT wire scrap off size - 12.13, </v>
      </c>
      <c r="H477" s="133"/>
    </row>
    <row r="478" spans="1:8" ht="15" customHeight="1">
      <c r="A478" s="44"/>
      <c r="B478" s="46"/>
      <c r="C478" s="53"/>
      <c r="D478" s="43"/>
      <c r="E478" s="64"/>
      <c r="G478" s="120"/>
      <c r="H478" s="133"/>
    </row>
    <row r="479" spans="1:8" ht="15" customHeight="1">
      <c r="A479" s="59"/>
      <c r="B479" s="60"/>
      <c r="C479" s="61"/>
      <c r="D479" s="61"/>
      <c r="E479" s="62">
        <f>SUM(E481:E482)</f>
        <v>19.325</v>
      </c>
      <c r="G479" s="120"/>
      <c r="H479" s="133"/>
    </row>
    <row r="480" spans="1:18" ht="15" customHeight="1">
      <c r="A480" s="303" t="s">
        <v>5</v>
      </c>
      <c r="B480" s="303"/>
      <c r="C480" s="63" t="s">
        <v>17</v>
      </c>
      <c r="D480" s="228" t="s">
        <v>18</v>
      </c>
      <c r="E480" s="45" t="s">
        <v>7</v>
      </c>
      <c r="G480" s="122" t="str">
        <f>CONCATENATE("Misc. Iron Scrap, Lying at ",C481,". Quantity in MT - ")</f>
        <v>Misc. Iron Scrap, Lying at Pilot Workshop Mohali. Quantity in MT - </v>
      </c>
      <c r="H480" s="325" t="str">
        <f ca="1">CONCATENATE(G480,G481,(INDIRECT(I481)),(INDIRECT(J481)),(INDIRECT(K481)),(INDIRECT(L481)),(INDIRECT(M481)),(INDIRECT(N481)),(INDIRECT(O481)),(INDIRECT(P481)),(INDIRECT(Q481)),(INDIRECT(R481)),".")</f>
        <v>Misc. Iron Scrap, Lying at Pilot Workshop Mohali. Quantity in MT - HT Wire scrap &amp; other intermingled iron scrap - 14, MS iron scrap ( MS sections, scrapped T&amp;P etc) - 5.325, .</v>
      </c>
      <c r="I480" s="129" t="str">
        <f aca="true" ca="1" t="array" ref="I480">CELL("address",INDEX(G480:G498,MATCH(TRUE,ISBLANK(G480:G498),0)))</f>
        <v>$G$483</v>
      </c>
      <c r="J480" s="129">
        <f aca="true" t="array" ref="J480">MATCH(TRUE,ISBLANK(G480:G498),0)</f>
        <v>4</v>
      </c>
      <c r="K480" s="129">
        <f>J480-3</f>
        <v>1</v>
      </c>
      <c r="L480" s="129"/>
      <c r="M480" s="129"/>
      <c r="N480" s="129"/>
      <c r="O480" s="129"/>
      <c r="P480" s="129"/>
      <c r="Q480" s="129"/>
      <c r="R480" s="129"/>
    </row>
    <row r="481" spans="1:18" ht="15" customHeight="1">
      <c r="A481" s="303" t="s">
        <v>30</v>
      </c>
      <c r="B481" s="303"/>
      <c r="C481" s="315" t="s">
        <v>55</v>
      </c>
      <c r="D481" s="47" t="s">
        <v>56</v>
      </c>
      <c r="E481" s="51">
        <v>14</v>
      </c>
      <c r="G481" s="120" t="str">
        <f>CONCATENATE(D481," - ",E481,", ")</f>
        <v>HT Wire scrap &amp; other intermingled iron scrap - 14, </v>
      </c>
      <c r="H481" s="325"/>
      <c r="I481" s="129" t="str">
        <f ca="1">IF(J480&gt;=3,(MID(I480,2,1)&amp;MID(I480,4,3)-K480),CELL("address",Z481))</f>
        <v>G482</v>
      </c>
      <c r="J481" s="129" t="str">
        <f ca="1">IF(J480&gt;=4,(MID(I481,1,1)&amp;MID(I481,2,3)+1),CELL("address",AA481))</f>
        <v>G483</v>
      </c>
      <c r="K481" s="129" t="str">
        <f ca="1">IF(J480&gt;=5,(MID(J481,1,1)&amp;MID(J481,2,3)+1),CELL("address",AB481))</f>
        <v>$AB$481</v>
      </c>
      <c r="L481" s="129" t="str">
        <f ca="1">IF(J480&gt;=6,(MID(K481,1,1)&amp;MID(K481,2,3)+1),CELL("address",AC481))</f>
        <v>$AC$481</v>
      </c>
      <c r="M481" s="129" t="str">
        <f ca="1">IF(J480&gt;=7,(MID(L481,1,1)&amp;MID(L481,2,3)+1),CELL("address",AD481))</f>
        <v>$AD$481</v>
      </c>
      <c r="N481" s="129" t="str">
        <f ca="1">IF(J480&gt;=8,(MID(M481,1,1)&amp;MID(M481,2,3)+1),CELL("address",AE481))</f>
        <v>$AE$481</v>
      </c>
      <c r="O481" s="129" t="str">
        <f ca="1">IF(J480&gt;=9,(MID(N481,1,1)&amp;MID(N481,2,3)+1),CELL("address",AF481))</f>
        <v>$AF$481</v>
      </c>
      <c r="P481" s="129" t="str">
        <f ca="1">IF(J480&gt;=10,(MID(O481,1,1)&amp;MID(O481,2,3)+1),CELL("address",AG481))</f>
        <v>$AG$481</v>
      </c>
      <c r="Q481" s="129" t="str">
        <f ca="1">IF(J480&gt;=11,(MID(P481,1,1)&amp;MID(P481,2,3)+1),CELL("address",AH481))</f>
        <v>$AH$481</v>
      </c>
      <c r="R481" s="129" t="str">
        <f ca="1">IF(J480&gt;=12,(MID(Q481,1,1)&amp;MID(Q481,2,3)+1),CELL("address",AI481))</f>
        <v>$AI$481</v>
      </c>
    </row>
    <row r="482" spans="1:8" ht="15" customHeight="1">
      <c r="A482" s="303"/>
      <c r="B482" s="303"/>
      <c r="C482" s="315"/>
      <c r="D482" s="91" t="s">
        <v>57</v>
      </c>
      <c r="E482" s="51">
        <v>5.325</v>
      </c>
      <c r="G482" s="120" t="str">
        <f>CONCATENATE(D482," - ",E482,", ")</f>
        <v>MS iron scrap ( MS sections, scrapped T&amp;P etc) - 5.325, </v>
      </c>
      <c r="H482" s="133"/>
    </row>
    <row r="483" spans="1:8" ht="15" customHeight="1">
      <c r="A483" s="44"/>
      <c r="B483" s="46"/>
      <c r="C483" s="53"/>
      <c r="D483" s="43"/>
      <c r="E483" s="64"/>
      <c r="G483" s="120"/>
      <c r="H483" s="133"/>
    </row>
    <row r="484" spans="1:8" ht="15" customHeight="1">
      <c r="A484" s="59"/>
      <c r="B484" s="60"/>
      <c r="C484" s="60"/>
      <c r="D484" s="61"/>
      <c r="E484" s="65">
        <f>SUM(E486:E486)</f>
        <v>26687</v>
      </c>
      <c r="G484" s="120"/>
      <c r="H484" s="133"/>
    </row>
    <row r="485" spans="1:18" ht="15" customHeight="1">
      <c r="A485" s="303" t="s">
        <v>5</v>
      </c>
      <c r="B485" s="303"/>
      <c r="C485" s="45" t="s">
        <v>17</v>
      </c>
      <c r="D485" s="228" t="s">
        <v>18</v>
      </c>
      <c r="E485" s="45" t="s">
        <v>70</v>
      </c>
      <c r="G485" s="122" t="str">
        <f>CONCATENATE("Misc. Iron Scrap, Lying at ",C486,". Quantity in No - ")</f>
        <v>Misc. Iron Scrap, Lying at S &amp; T Store Bathinda. Quantity in No - </v>
      </c>
      <c r="H485" s="325" t="str">
        <f ca="1">CONCATENATE(G485,G486,(INDIRECT(I486)),(INDIRECT(J486)),(INDIRECT(K486)),(INDIRECT(L486)),(INDIRECT(M486)),(INDIRECT(N486)),(INDIRECT(O486)),(INDIRECT(P486)),(INDIRECT(Q486)),(INDIRECT(R486)),".")</f>
        <v>Misc. Iron Scrap, Lying at S &amp; T Store Bathinda. Quantity in No - Disc Insulator Scrap - 26687, .</v>
      </c>
      <c r="I485" s="129" t="str">
        <f aca="true" ca="1" t="array" ref="I485">CELL("address",INDEX(G485:G500,MATCH(TRUE,ISBLANK(G485:G500),0)))</f>
        <v>$G$487</v>
      </c>
      <c r="J485" s="129">
        <f aca="true" t="array" ref="J485">MATCH(TRUE,ISBLANK(G485:G500),0)</f>
        <v>3</v>
      </c>
      <c r="K485" s="129">
        <f>J485-3</f>
        <v>0</v>
      </c>
      <c r="L485" s="129"/>
      <c r="M485" s="129"/>
      <c r="N485" s="129"/>
      <c r="O485" s="129"/>
      <c r="P485" s="129"/>
      <c r="Q485" s="129"/>
      <c r="R485" s="129"/>
    </row>
    <row r="486" spans="1:18" ht="15" customHeight="1">
      <c r="A486" s="316" t="s">
        <v>33</v>
      </c>
      <c r="B486" s="317"/>
      <c r="C486" s="234" t="s">
        <v>58</v>
      </c>
      <c r="D486" s="45" t="s">
        <v>71</v>
      </c>
      <c r="E486" s="66">
        <v>26687</v>
      </c>
      <c r="G486" s="120" t="str">
        <f>CONCATENATE(D486," - ",E486,", ")</f>
        <v>Disc Insulator Scrap - 26687, </v>
      </c>
      <c r="H486" s="325"/>
      <c r="I486" s="129" t="str">
        <f ca="1">IF(J485&gt;=3,(MID(I485,2,1)&amp;MID(I485,4,3)-K485),CELL("address",Z486))</f>
        <v>G487</v>
      </c>
      <c r="J486" s="129" t="str">
        <f ca="1">IF(J485&gt;=4,(MID(I486,1,1)&amp;MID(I486,2,3)+1),CELL("address",AA486))</f>
        <v>$AA$486</v>
      </c>
      <c r="K486" s="129" t="str">
        <f ca="1">IF(J485&gt;=5,(MID(J486,1,1)&amp;MID(J486,2,3)+1),CELL("address",AB486))</f>
        <v>$AB$486</v>
      </c>
      <c r="L486" s="129" t="str">
        <f ca="1">IF(J485&gt;=6,(MID(K486,1,1)&amp;MID(K486,2,3)+1),CELL("address",AC486))</f>
        <v>$AC$486</v>
      </c>
      <c r="M486" s="129" t="str">
        <f ca="1">IF(J485&gt;=7,(MID(L486,1,1)&amp;MID(L486,2,3)+1),CELL("address",AD486))</f>
        <v>$AD$486</v>
      </c>
      <c r="N486" s="129" t="str">
        <f ca="1">IF(J485&gt;=8,(MID(M486,1,1)&amp;MID(M486,2,3)+1),CELL("address",AE486))</f>
        <v>$AE$486</v>
      </c>
      <c r="O486" s="129" t="str">
        <f ca="1">IF(J485&gt;=9,(MID(N486,1,1)&amp;MID(N486,2,3)+1),CELL("address",AF486))</f>
        <v>$AF$486</v>
      </c>
      <c r="P486" s="129" t="str">
        <f ca="1">IF(J485&gt;=10,(MID(O486,1,1)&amp;MID(O486,2,3)+1),CELL("address",AG486))</f>
        <v>$AG$486</v>
      </c>
      <c r="Q486" s="129" t="str">
        <f ca="1">IF(J485&gt;=11,(MID(P486,1,1)&amp;MID(P486,2,3)+1),CELL("address",AH486))</f>
        <v>$AH$486</v>
      </c>
      <c r="R486" s="129" t="str">
        <f ca="1">IF(J485&gt;=12,(MID(Q486,1,1)&amp;MID(Q486,2,3)+1),CELL("address",AI486))</f>
        <v>$AI$486</v>
      </c>
    </row>
    <row r="487" spans="1:8" ht="15" customHeight="1">
      <c r="A487" s="44"/>
      <c r="B487" s="47"/>
      <c r="C487" s="228"/>
      <c r="D487" s="45"/>
      <c r="E487" s="67"/>
      <c r="G487" s="120"/>
      <c r="H487" s="133"/>
    </row>
    <row r="488" spans="1:8" ht="15" customHeight="1">
      <c r="A488" s="59"/>
      <c r="B488" s="60"/>
      <c r="C488" s="60"/>
      <c r="D488" s="61"/>
      <c r="E488" s="62">
        <f>SUM(E490:E491)</f>
        <v>128.268</v>
      </c>
      <c r="G488" s="120"/>
      <c r="H488" s="133"/>
    </row>
    <row r="489" spans="1:18" ht="15" customHeight="1">
      <c r="A489" s="303" t="s">
        <v>5</v>
      </c>
      <c r="B489" s="303"/>
      <c r="C489" s="45" t="s">
        <v>17</v>
      </c>
      <c r="D489" s="228" t="s">
        <v>18</v>
      </c>
      <c r="E489" s="45" t="s">
        <v>7</v>
      </c>
      <c r="G489" s="122" t="str">
        <f>CONCATENATE("Misc. Iron Scrap, Lying at ",C490,". Quantity in MT - ")</f>
        <v>Misc. Iron Scrap, Lying at S &amp; T Store Bathinda. Quantity in MT - </v>
      </c>
      <c r="H489" s="325" t="str">
        <f ca="1">CONCATENATE(G489,G490,(INDIRECT(I490)),(INDIRECT(J490)),(INDIRECT(K490)),(INDIRECT(L490)),(INDIRECT(M490)),(INDIRECT(N490)),(INDIRECT(O490)),(INDIRECT(P490)),(INDIRECT(Q490)),(INDIRECT(R490)),".")</f>
        <v>Misc. Iron Scrap, Lying at S &amp; T Store Bathinda. Quantity in MT - MS Rail scrap - 123.916, Earthwire GSL scrap - 4.352, .</v>
      </c>
      <c r="I489" s="129" t="str">
        <f aca="true" ca="1" t="array" ref="I489">CELL("address",INDEX(G489:G505,MATCH(TRUE,ISBLANK(G489:G505),0)))</f>
        <v>$G$492</v>
      </c>
      <c r="J489" s="129">
        <f aca="true" t="array" ref="J489">MATCH(TRUE,ISBLANK(G489:G505),0)</f>
        <v>4</v>
      </c>
      <c r="K489" s="129">
        <f>J489-3</f>
        <v>1</v>
      </c>
      <c r="L489" s="129"/>
      <c r="M489" s="129"/>
      <c r="N489" s="129"/>
      <c r="O489" s="129"/>
      <c r="P489" s="129"/>
      <c r="Q489" s="129"/>
      <c r="R489" s="129"/>
    </row>
    <row r="490" spans="1:18" ht="15" customHeight="1">
      <c r="A490" s="303" t="s">
        <v>51</v>
      </c>
      <c r="B490" s="303"/>
      <c r="C490" s="315" t="s">
        <v>58</v>
      </c>
      <c r="D490" s="45" t="s">
        <v>62</v>
      </c>
      <c r="E490" s="51">
        <v>123.916</v>
      </c>
      <c r="G490" s="120" t="str">
        <f>CONCATENATE(D490," - ",E490,", ")</f>
        <v>MS Rail scrap - 123.916, </v>
      </c>
      <c r="H490" s="325"/>
      <c r="I490" s="129" t="str">
        <f ca="1">IF(J489&gt;=3,(MID(I489,2,1)&amp;MID(I489,4,3)-K489),CELL("address",Z490))</f>
        <v>G491</v>
      </c>
      <c r="J490" s="129" t="str">
        <f ca="1">IF(J489&gt;=4,(MID(I490,1,1)&amp;MID(I490,2,3)+1),CELL("address",AA490))</f>
        <v>G492</v>
      </c>
      <c r="K490" s="129" t="str">
        <f ca="1">IF(J489&gt;=5,(MID(J490,1,1)&amp;MID(J490,2,3)+1),CELL("address",AB490))</f>
        <v>$AB$490</v>
      </c>
      <c r="L490" s="129" t="str">
        <f ca="1">IF(J489&gt;=6,(MID(K490,1,1)&amp;MID(K490,2,3)+1),CELL("address",AC490))</f>
        <v>$AC$490</v>
      </c>
      <c r="M490" s="129" t="str">
        <f ca="1">IF(J489&gt;=7,(MID(L490,1,1)&amp;MID(L490,2,3)+1),CELL("address",AD490))</f>
        <v>$AD$490</v>
      </c>
      <c r="N490" s="129" t="str">
        <f ca="1">IF(J489&gt;=8,(MID(M490,1,1)&amp;MID(M490,2,3)+1),CELL("address",AE490))</f>
        <v>$AE$490</v>
      </c>
      <c r="O490" s="129" t="str">
        <f ca="1">IF(J489&gt;=9,(MID(N490,1,1)&amp;MID(N490,2,3)+1),CELL("address",AF490))</f>
        <v>$AF$490</v>
      </c>
      <c r="P490" s="129" t="str">
        <f ca="1">IF(J489&gt;=10,(MID(O490,1,1)&amp;MID(O490,2,3)+1),CELL("address",AG490))</f>
        <v>$AG$490</v>
      </c>
      <c r="Q490" s="129" t="str">
        <f ca="1">IF(J489&gt;=11,(MID(P490,1,1)&amp;MID(P490,2,3)+1),CELL("address",AH490))</f>
        <v>$AH$490</v>
      </c>
      <c r="R490" s="129" t="str">
        <f ca="1">IF(J489&gt;=12,(MID(Q490,1,1)&amp;MID(Q490,2,3)+1),CELL("address",AI490))</f>
        <v>$AI$490</v>
      </c>
    </row>
    <row r="491" spans="1:8" ht="15" customHeight="1">
      <c r="A491" s="303"/>
      <c r="B491" s="303"/>
      <c r="C491" s="315"/>
      <c r="D491" s="45" t="s">
        <v>144</v>
      </c>
      <c r="E491" s="51">
        <v>4.352</v>
      </c>
      <c r="G491" s="120" t="str">
        <f>CONCATENATE(D491," - ",E491,", ")</f>
        <v>Earthwire GSL scrap - 4.352, </v>
      </c>
      <c r="H491" s="133"/>
    </row>
    <row r="492" spans="1:8" ht="15" customHeight="1">
      <c r="A492" s="44"/>
      <c r="B492" s="46"/>
      <c r="C492" s="53"/>
      <c r="D492" s="46"/>
      <c r="E492" s="68"/>
      <c r="G492" s="120"/>
      <c r="H492" s="133"/>
    </row>
    <row r="493" spans="1:8" ht="15" customHeight="1">
      <c r="A493" s="59"/>
      <c r="B493" s="60"/>
      <c r="C493" s="60"/>
      <c r="D493" s="63"/>
      <c r="E493" s="58">
        <f>SUM(E495:E497)</f>
        <v>2.7449999999999997</v>
      </c>
      <c r="G493" s="120"/>
      <c r="H493" s="133"/>
    </row>
    <row r="494" spans="1:18" ht="15" customHeight="1">
      <c r="A494" s="303" t="s">
        <v>5</v>
      </c>
      <c r="B494" s="303"/>
      <c r="C494" s="45" t="s">
        <v>17</v>
      </c>
      <c r="D494" s="228" t="s">
        <v>18</v>
      </c>
      <c r="E494" s="45" t="s">
        <v>7</v>
      </c>
      <c r="G494" s="122" t="str">
        <f>CONCATENATE("Misc. Iron Scrap, Lying at ",C495,". Quantity in MT - ")</f>
        <v>Misc. Iron Scrap, Lying at CS Ferozepur. Quantity in MT - </v>
      </c>
      <c r="H494" s="325" t="str">
        <f ca="1">CONCATENATE(G494,G495,(INDIRECT(I495)),(INDIRECT(J495)),(INDIRECT(K495)),(INDIRECT(L495)),(INDIRECT(M495)),(INDIRECT(N495)),(INDIRECT(O495)),(INDIRECT(P495)),(INDIRECT(Q495)),(INDIRECT(R495)),".")</f>
        <v>Misc. Iron Scrap, Lying at CS Ferozepur. Quantity in MT - MS iron scrap - 2.379, Teen Patra scrap - 0.32, G.I. Scrap - 0.046, .</v>
      </c>
      <c r="I494" s="129" t="str">
        <f aca="true" ca="1" t="array" ref="I494">CELL("address",INDEX(G494:G507,MATCH(TRUE,ISBLANK(G494:G507),0)))</f>
        <v>$G$498</v>
      </c>
      <c r="J494" s="129">
        <f aca="true" t="array" ref="J494">MATCH(TRUE,ISBLANK(G494:G507),0)</f>
        <v>5</v>
      </c>
      <c r="K494" s="129">
        <f>J494-3</f>
        <v>2</v>
      </c>
      <c r="L494" s="129"/>
      <c r="M494" s="129"/>
      <c r="N494" s="129"/>
      <c r="O494" s="129"/>
      <c r="P494" s="129"/>
      <c r="Q494" s="129"/>
      <c r="R494" s="129"/>
    </row>
    <row r="495" spans="1:18" ht="15" customHeight="1">
      <c r="A495" s="303" t="s">
        <v>66</v>
      </c>
      <c r="B495" s="303"/>
      <c r="C495" s="315" t="s">
        <v>100</v>
      </c>
      <c r="D495" s="47" t="s">
        <v>29</v>
      </c>
      <c r="E495" s="68">
        <v>2.379</v>
      </c>
      <c r="G495" s="120" t="str">
        <f>CONCATENATE(D495," - ",E495,", ")</f>
        <v>MS iron scrap - 2.379, </v>
      </c>
      <c r="H495" s="325"/>
      <c r="I495" s="129" t="str">
        <f ca="1">IF(J494&gt;=3,(MID(I494,2,1)&amp;MID(I494,4,3)-K494),CELL("address",Z495))</f>
        <v>G496</v>
      </c>
      <c r="J495" s="129" t="str">
        <f ca="1">IF(J494&gt;=4,(MID(I495,1,1)&amp;MID(I495,2,3)+1),CELL("address",AA495))</f>
        <v>G497</v>
      </c>
      <c r="K495" s="129" t="str">
        <f ca="1">IF(J494&gt;=5,(MID(J495,1,1)&amp;MID(J495,2,3)+1),CELL("address",AB495))</f>
        <v>G498</v>
      </c>
      <c r="L495" s="129" t="str">
        <f ca="1">IF(J494&gt;=6,(MID(K495,1,1)&amp;MID(K495,2,3)+1),CELL("address",AC495))</f>
        <v>$AC$495</v>
      </c>
      <c r="M495" s="129" t="str">
        <f ca="1">IF(J494&gt;=7,(MID(L495,1,1)&amp;MID(L495,2,3)+1),CELL("address",AD495))</f>
        <v>$AD$495</v>
      </c>
      <c r="N495" s="129" t="str">
        <f ca="1">IF(J494&gt;=8,(MID(M495,1,1)&amp;MID(M495,2,3)+1),CELL("address",AE495))</f>
        <v>$AE$495</v>
      </c>
      <c r="O495" s="129" t="str">
        <f ca="1">IF(J494&gt;=9,(MID(N495,1,1)&amp;MID(N495,2,3)+1),CELL("address",AF495))</f>
        <v>$AF$495</v>
      </c>
      <c r="P495" s="129" t="str">
        <f ca="1">IF(J494&gt;=10,(MID(O495,1,1)&amp;MID(O495,2,3)+1),CELL("address",AG495))</f>
        <v>$AG$495</v>
      </c>
      <c r="Q495" s="129" t="str">
        <f ca="1">IF(J494&gt;=11,(MID(P495,1,1)&amp;MID(P495,2,3)+1),CELL("address",AH495))</f>
        <v>$AH$495</v>
      </c>
      <c r="R495" s="129" t="str">
        <f ca="1">IF(J494&gt;=12,(MID(Q495,1,1)&amp;MID(Q495,2,3)+1),CELL("address",AI495))</f>
        <v>$AI$495</v>
      </c>
    </row>
    <row r="496" spans="1:18" ht="15" customHeight="1">
      <c r="A496" s="303"/>
      <c r="B496" s="303"/>
      <c r="C496" s="315"/>
      <c r="D496" s="100" t="s">
        <v>65</v>
      </c>
      <c r="E496" s="70">
        <v>0.32</v>
      </c>
      <c r="G496" s="120" t="str">
        <f>CONCATENATE(D496," - ",E496,", ")</f>
        <v>Teen Patra scrap - 0.32, </v>
      </c>
      <c r="H496" s="140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</row>
    <row r="497" spans="1:18" ht="15" customHeight="1">
      <c r="A497" s="303"/>
      <c r="B497" s="303"/>
      <c r="C497" s="315"/>
      <c r="D497" s="100" t="s">
        <v>202</v>
      </c>
      <c r="E497" s="70">
        <v>0.046</v>
      </c>
      <c r="G497" s="120" t="str">
        <f>CONCATENATE(D497," - ",E497,", ")</f>
        <v>G.I. Scrap - 0.046, </v>
      </c>
      <c r="H497" s="140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</row>
    <row r="498" spans="1:8" ht="15" customHeight="1">
      <c r="A498" s="44"/>
      <c r="B498" s="46"/>
      <c r="C498" s="53"/>
      <c r="D498" s="43"/>
      <c r="E498" s="72"/>
      <c r="G498" s="120"/>
      <c r="H498" s="133"/>
    </row>
    <row r="499" spans="1:8" ht="15" customHeight="1">
      <c r="A499" s="313"/>
      <c r="B499" s="314"/>
      <c r="C499" s="45"/>
      <c r="D499" s="63"/>
      <c r="E499" s="69">
        <f>SUM(E501:E502)</f>
        <v>2.1270000000000002</v>
      </c>
      <c r="G499" s="120"/>
      <c r="H499" s="133"/>
    </row>
    <row r="500" spans="1:18" ht="15" customHeight="1">
      <c r="A500" s="303" t="s">
        <v>5</v>
      </c>
      <c r="B500" s="303"/>
      <c r="C500" s="45" t="s">
        <v>17</v>
      </c>
      <c r="D500" s="228" t="s">
        <v>18</v>
      </c>
      <c r="E500" s="44" t="s">
        <v>7</v>
      </c>
      <c r="G500" s="122" t="str">
        <f>CONCATENATE("Misc. Iron Scrap, Lying at ",C501,". Quantity in MT - ")</f>
        <v>Misc. Iron Scrap, Lying at OL Fazilka. Quantity in MT - </v>
      </c>
      <c r="H500" s="325" t="str">
        <f ca="1">CONCATENATE(G500,G501,(INDIRECT(I501)),(INDIRECT(J501)),(INDIRECT(K501)),(INDIRECT(L501)),(INDIRECT(M501)),(INDIRECT(N501)),(INDIRECT(O501)),(INDIRECT(P501)),(INDIRECT(Q501)),(INDIRECT(R501)),".")</f>
        <v>Misc. Iron Scrap, Lying at OL Fazilka. Quantity in MT - MS iron scrap - 1.957, Teen Patra scrap - 0.17, .</v>
      </c>
      <c r="I500" s="129" t="str">
        <f aca="true" ca="1" t="array" ref="I500">CELL("address",INDEX(G500:G508,MATCH(TRUE,ISBLANK(G500:G508),0)))</f>
        <v>$G$503</v>
      </c>
      <c r="J500" s="129">
        <f aca="true" t="array" ref="J500">MATCH(TRUE,ISBLANK(G500:G508),0)</f>
        <v>4</v>
      </c>
      <c r="K500" s="129">
        <f>J500-3</f>
        <v>1</v>
      </c>
      <c r="L500" s="129"/>
      <c r="M500" s="129"/>
      <c r="N500" s="129"/>
      <c r="O500" s="129"/>
      <c r="P500" s="129"/>
      <c r="Q500" s="129"/>
      <c r="R500" s="129"/>
    </row>
    <row r="501" spans="1:18" ht="15" customHeight="1">
      <c r="A501" s="316" t="s">
        <v>67</v>
      </c>
      <c r="B501" s="317"/>
      <c r="C501" s="322" t="s">
        <v>114</v>
      </c>
      <c r="D501" s="47" t="s">
        <v>29</v>
      </c>
      <c r="E501" s="70">
        <v>1.957</v>
      </c>
      <c r="G501" s="120" t="str">
        <f>CONCATENATE(D501," - ",E501,", ")</f>
        <v>MS iron scrap - 1.957, </v>
      </c>
      <c r="H501" s="325"/>
      <c r="I501" s="129" t="str">
        <f ca="1">IF(J500&gt;=3,(MID(I500,2,1)&amp;MID(I500,4,3)-K500),CELL("address",Z501))</f>
        <v>G502</v>
      </c>
      <c r="J501" s="129" t="str">
        <f ca="1">IF(J500&gt;=4,(MID(I501,1,1)&amp;MID(I501,2,3)+1),CELL("address",AA501))</f>
        <v>G503</v>
      </c>
      <c r="K501" s="129" t="str">
        <f ca="1">IF(J500&gt;=5,(MID(J501,1,1)&amp;MID(J501,2,3)+1),CELL("address",AB501))</f>
        <v>$AB$501</v>
      </c>
      <c r="L501" s="129" t="str">
        <f ca="1">IF(J500&gt;=6,(MID(K501,1,1)&amp;MID(K501,2,3)+1),CELL("address",AC501))</f>
        <v>$AC$501</v>
      </c>
      <c r="M501" s="129" t="str">
        <f ca="1">IF(J500&gt;=7,(MID(L501,1,1)&amp;MID(L501,2,3)+1),CELL("address",AD501))</f>
        <v>$AD$501</v>
      </c>
      <c r="N501" s="129" t="str">
        <f ca="1">IF(J500&gt;=8,(MID(M501,1,1)&amp;MID(M501,2,3)+1),CELL("address",AE501))</f>
        <v>$AE$501</v>
      </c>
      <c r="O501" s="129" t="str">
        <f ca="1">IF(J500&gt;=9,(MID(N501,1,1)&amp;MID(N501,2,3)+1),CELL("address",AF501))</f>
        <v>$AF$501</v>
      </c>
      <c r="P501" s="129" t="str">
        <f ca="1">IF(J500&gt;=10,(MID(O501,1,1)&amp;MID(O501,2,3)+1),CELL("address",AG501))</f>
        <v>$AG$501</v>
      </c>
      <c r="Q501" s="129" t="str">
        <f ca="1">IF(J500&gt;=11,(MID(P501,1,1)&amp;MID(P501,2,3)+1),CELL("address",AH501))</f>
        <v>$AH$501</v>
      </c>
      <c r="R501" s="129" t="str">
        <f ca="1">IF(J500&gt;=12,(MID(Q501,1,1)&amp;MID(Q501,2,3)+1),CELL("address",AI501))</f>
        <v>$AI$501</v>
      </c>
    </row>
    <row r="502" spans="1:24" ht="15" customHeight="1">
      <c r="A502" s="318"/>
      <c r="B502" s="319"/>
      <c r="C502" s="323"/>
      <c r="D502" s="100" t="s">
        <v>65</v>
      </c>
      <c r="E502" s="70">
        <v>0.17</v>
      </c>
      <c r="G502" s="120" t="str">
        <f>CONCATENATE(D502," - ",E502,", ")</f>
        <v>Teen Patra scrap - 0.17, </v>
      </c>
      <c r="H502" s="140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T502" s="390"/>
      <c r="U502" s="390"/>
      <c r="V502" s="390"/>
      <c r="W502" s="390"/>
      <c r="X502" s="390"/>
    </row>
    <row r="503" spans="1:24" ht="15" customHeight="1">
      <c r="A503" s="308"/>
      <c r="B503" s="326"/>
      <c r="C503" s="228"/>
      <c r="D503" s="45"/>
      <c r="E503" s="70"/>
      <c r="G503" s="120"/>
      <c r="H503" s="134"/>
      <c r="T503" s="391"/>
      <c r="U503" s="391"/>
      <c r="V503" s="391"/>
      <c r="W503" s="391"/>
      <c r="X503" s="391"/>
    </row>
    <row r="504" spans="1:8" ht="15" customHeight="1">
      <c r="A504" s="313"/>
      <c r="B504" s="314"/>
      <c r="C504" s="45"/>
      <c r="D504" s="63"/>
      <c r="E504" s="62">
        <f>SUM(E506:E506)</f>
        <v>100</v>
      </c>
      <c r="G504" s="120"/>
      <c r="H504" s="133"/>
    </row>
    <row r="505" spans="1:18" ht="15" customHeight="1">
      <c r="A505" s="303" t="s">
        <v>5</v>
      </c>
      <c r="B505" s="303"/>
      <c r="C505" s="45" t="s">
        <v>17</v>
      </c>
      <c r="D505" s="228" t="s">
        <v>18</v>
      </c>
      <c r="E505" s="45" t="s">
        <v>7</v>
      </c>
      <c r="G505" s="122" t="str">
        <f>CONCATENATE("Misc. Iron Scrap, Lying at ",C506,". Quantity in MT - ")</f>
        <v>Misc. Iron Scrap, Lying at S &amp; T Store Bathinda. Quantity in MT - </v>
      </c>
      <c r="H505" s="325" t="str">
        <f ca="1">CONCATENATE(G505,G506,(INDIRECT(I506)),(INDIRECT(J506)),(INDIRECT(K506)),(INDIRECT(L506)),(INDIRECT(M506)),(INDIRECT(N506)),(INDIRECT(O506)),(INDIRECT(P506)),(INDIRECT(Q506)),(INDIRECT(R506)),".")</f>
        <v>Misc. Iron Scrap, Lying at S &amp; T Store Bathinda. Quantity in MT - MS Rail scrap - 100, .</v>
      </c>
      <c r="I505" s="129" t="str">
        <f aca="true" ca="1" t="array" ref="I505">CELL("address",INDEX(G505:G512,MATCH(TRUE,ISBLANK(G505:G512),0)))</f>
        <v>$G$507</v>
      </c>
      <c r="J505" s="129">
        <f aca="true" t="array" ref="J505">MATCH(TRUE,ISBLANK(G505:G512),0)</f>
        <v>3</v>
      </c>
      <c r="K505" s="129">
        <f>J505-3</f>
        <v>0</v>
      </c>
      <c r="L505" s="129"/>
      <c r="M505" s="129"/>
      <c r="N505" s="129"/>
      <c r="O505" s="129"/>
      <c r="P505" s="129"/>
      <c r="Q505" s="129"/>
      <c r="R505" s="129"/>
    </row>
    <row r="506" spans="1:18" ht="15" customHeight="1">
      <c r="A506" s="303" t="s">
        <v>68</v>
      </c>
      <c r="B506" s="303"/>
      <c r="C506" s="228" t="s">
        <v>58</v>
      </c>
      <c r="D506" s="45" t="s">
        <v>62</v>
      </c>
      <c r="E506" s="51">
        <v>100</v>
      </c>
      <c r="G506" s="120" t="str">
        <f>CONCATENATE(D506," - ",E506,", ")</f>
        <v>MS Rail scrap - 100, </v>
      </c>
      <c r="H506" s="325"/>
      <c r="I506" s="129" t="str">
        <f ca="1">IF(J505&gt;=3,(MID(I505,2,1)&amp;MID(I505,4,3)-K505),CELL("address",Z506))</f>
        <v>G507</v>
      </c>
      <c r="J506" s="129" t="str">
        <f ca="1">IF(J505&gt;=4,(MID(I506,1,1)&amp;MID(I506,2,3)+1),CELL("address",AA506))</f>
        <v>$AA$506</v>
      </c>
      <c r="K506" s="129" t="str">
        <f ca="1">IF(J505&gt;=5,(MID(J506,1,1)&amp;MID(J506,2,3)+1),CELL("address",AB506))</f>
        <v>$AB$506</v>
      </c>
      <c r="L506" s="129" t="str">
        <f ca="1">IF(J505&gt;=6,(MID(K506,1,1)&amp;MID(K506,2,3)+1),CELL("address",AC506))</f>
        <v>$AC$506</v>
      </c>
      <c r="M506" s="129" t="str">
        <f ca="1">IF(J505&gt;=7,(MID(L506,1,1)&amp;MID(L506,2,3)+1),CELL("address",AD506))</f>
        <v>$AD$506</v>
      </c>
      <c r="N506" s="129" t="str">
        <f ca="1">IF(J505&gt;=8,(MID(M506,1,1)&amp;MID(M506,2,3)+1),CELL("address",AE506))</f>
        <v>$AE$506</v>
      </c>
      <c r="O506" s="129" t="str">
        <f ca="1">IF(J505&gt;=9,(MID(N506,1,1)&amp;MID(N506,2,3)+1),CELL("address",AF506))</f>
        <v>$AF$506</v>
      </c>
      <c r="P506" s="129" t="str">
        <f ca="1">IF(J505&gt;=10,(MID(O506,1,1)&amp;MID(O506,2,3)+1),CELL("address",AG506))</f>
        <v>$AG$506</v>
      </c>
      <c r="Q506" s="129" t="str">
        <f ca="1">IF(J505&gt;=11,(MID(P506,1,1)&amp;MID(P506,2,3)+1),CELL("address",AH506))</f>
        <v>$AH$506</v>
      </c>
      <c r="R506" s="129" t="str">
        <f ca="1">IF(J505&gt;=12,(MID(Q506,1,1)&amp;MID(Q506,2,3)+1),CELL("address",AI506))</f>
        <v>$AI$506</v>
      </c>
    </row>
    <row r="507" spans="1:8" ht="15" customHeight="1">
      <c r="A507" s="44"/>
      <c r="B507" s="46"/>
      <c r="C507" s="53"/>
      <c r="D507" s="46"/>
      <c r="E507" s="70"/>
      <c r="G507" s="120"/>
      <c r="H507" s="134"/>
    </row>
    <row r="508" spans="1:8" ht="15" customHeight="1">
      <c r="A508" s="59"/>
      <c r="B508" s="60"/>
      <c r="C508" s="60"/>
      <c r="D508" s="63"/>
      <c r="E508" s="58">
        <f>SUM(E510:E514)</f>
        <v>7.515</v>
      </c>
      <c r="G508" s="120"/>
      <c r="H508" s="133"/>
    </row>
    <row r="509" spans="1:18" ht="15" customHeight="1">
      <c r="A509" s="303" t="s">
        <v>5</v>
      </c>
      <c r="B509" s="303"/>
      <c r="C509" s="45" t="s">
        <v>17</v>
      </c>
      <c r="D509" s="228" t="s">
        <v>18</v>
      </c>
      <c r="E509" s="45" t="s">
        <v>7</v>
      </c>
      <c r="G509" s="122" t="str">
        <f>CONCATENATE("Misc. Iron Scrap, Lying at ",C510,". Quantity in MT - ")</f>
        <v>Misc. Iron Scrap, Lying at CS Kotkapura. Quantity in MT - </v>
      </c>
      <c r="H509" s="325" t="str">
        <f ca="1">CONCATENATE(G509,G510,(INDIRECT(I510)),(INDIRECT(J510)),(INDIRECT(K510)),(INDIRECT(L510)),(INDIRECT(M510)),(INDIRECT(N510)),(INDIRECT(O510)),(INDIRECT(P510)),(INDIRECT(Q510)),(INDIRECT(R510)),".")</f>
        <v>Misc. Iron Scrap, Lying at CS Kotkapura. Quantity in MT - MS iron scrap - 3.596, Transformer body scrap - 2.973, Teen Patra scrap - 0.878, G.I. Scrap - 0.048, M.S. Nuts &amp; Bolts Scrap - 0.02, .</v>
      </c>
      <c r="I509" s="129" t="str">
        <f aca="true" ca="1" t="array" ref="I509">CELL("address",INDEX(G509:G515,MATCH(TRUE,ISBLANK(G509:G515),0)))</f>
        <v>$G$515</v>
      </c>
      <c r="J509" s="129">
        <f aca="true" t="array" ref="J509">MATCH(TRUE,ISBLANK(G509:G515),0)</f>
        <v>7</v>
      </c>
      <c r="K509" s="129">
        <f>J509-3</f>
        <v>4</v>
      </c>
      <c r="L509" s="129"/>
      <c r="M509" s="129"/>
      <c r="N509" s="129"/>
      <c r="O509" s="129"/>
      <c r="P509" s="129"/>
      <c r="Q509" s="129"/>
      <c r="R509" s="129"/>
    </row>
    <row r="510" spans="1:18" ht="15" customHeight="1">
      <c r="A510" s="327" t="s">
        <v>69</v>
      </c>
      <c r="B510" s="327"/>
      <c r="C510" s="315" t="s">
        <v>43</v>
      </c>
      <c r="D510" s="47" t="s">
        <v>29</v>
      </c>
      <c r="E510" s="68">
        <v>3.596</v>
      </c>
      <c r="F510" s="1">
        <v>3.223</v>
      </c>
      <c r="G510" s="120" t="str">
        <f>CONCATENATE(D510," - ",E510,", ")</f>
        <v>MS iron scrap - 3.596, </v>
      </c>
      <c r="H510" s="325"/>
      <c r="I510" s="129" t="str">
        <f ca="1">IF(J509&gt;=3,(MID(I509,2,1)&amp;MID(I509,4,3)-K509),CELL("address",Z510))</f>
        <v>G511</v>
      </c>
      <c r="J510" s="129" t="str">
        <f ca="1">IF(J509&gt;=4,(MID(I510,1,1)&amp;MID(I510,2,3)+1),CELL("address",AA510))</f>
        <v>G512</v>
      </c>
      <c r="K510" s="129" t="str">
        <f ca="1">IF(J509&gt;=5,(MID(J510,1,1)&amp;MID(J510,2,3)+1),CELL("address",AB510))</f>
        <v>G513</v>
      </c>
      <c r="L510" s="129" t="str">
        <f ca="1">IF(J509&gt;=6,(MID(K510,1,1)&amp;MID(K510,2,3)+1),CELL("address",AC510))</f>
        <v>G514</v>
      </c>
      <c r="M510" s="129" t="str">
        <f ca="1">IF(J509&gt;=7,(MID(L510,1,1)&amp;MID(L510,2,3)+1),CELL("address",AD510))</f>
        <v>G515</v>
      </c>
      <c r="N510" s="129" t="str">
        <f ca="1">IF(J509&gt;=8,(MID(M510,1,1)&amp;MID(M510,2,3)+1),CELL("address",AE510))</f>
        <v>$AE$510</v>
      </c>
      <c r="O510" s="129" t="str">
        <f ca="1">IF(J509&gt;=9,(MID(N510,1,1)&amp;MID(N510,2,3)+1),CELL("address",AF510))</f>
        <v>$AF$510</v>
      </c>
      <c r="P510" s="129" t="str">
        <f ca="1">IF(J509&gt;=10,(MID(O510,1,1)&amp;MID(O510,2,3)+1),CELL("address",AG510))</f>
        <v>$AG$510</v>
      </c>
      <c r="Q510" s="129" t="str">
        <f ca="1">IF(J509&gt;=11,(MID(P510,1,1)&amp;MID(P510,2,3)+1),CELL("address",AH510))</f>
        <v>$AH$510</v>
      </c>
      <c r="R510" s="129" t="str">
        <f ca="1">IF(J509&gt;=12,(MID(Q510,1,1)&amp;MID(Q510,2,3)+1),CELL("address",AI510))</f>
        <v>$AI$510</v>
      </c>
    </row>
    <row r="511" spans="1:8" ht="15" customHeight="1">
      <c r="A511" s="327"/>
      <c r="B511" s="327"/>
      <c r="C511" s="315"/>
      <c r="D511" s="214" t="s">
        <v>61</v>
      </c>
      <c r="E511" s="64">
        <v>2.973</v>
      </c>
      <c r="F511" s="1">
        <v>2.479</v>
      </c>
      <c r="G511" s="120" t="str">
        <f>CONCATENATE(D511," - ",E511,", ")</f>
        <v>Transformer body scrap - 2.973, </v>
      </c>
      <c r="H511" s="133"/>
    </row>
    <row r="512" spans="1:8" ht="15" customHeight="1">
      <c r="A512" s="327"/>
      <c r="B512" s="327"/>
      <c r="C512" s="315"/>
      <c r="D512" s="214" t="s">
        <v>65</v>
      </c>
      <c r="E512" s="64">
        <v>0.878</v>
      </c>
      <c r="F512" s="1">
        <v>0.825</v>
      </c>
      <c r="G512" s="120" t="str">
        <f>CONCATENATE(D512," - ",E512,", ")</f>
        <v>Teen Patra scrap - 0.878, </v>
      </c>
      <c r="H512" s="133"/>
    </row>
    <row r="513" spans="1:8" ht="15" customHeight="1">
      <c r="A513" s="327"/>
      <c r="B513" s="327"/>
      <c r="C513" s="315"/>
      <c r="D513" s="214" t="s">
        <v>202</v>
      </c>
      <c r="E513" s="72">
        <v>0.048</v>
      </c>
      <c r="F513" s="1">
        <v>0.038</v>
      </c>
      <c r="G513" s="120" t="str">
        <f>CONCATENATE(D513," - ",E513,", ")</f>
        <v>G.I. Scrap - 0.048, </v>
      </c>
      <c r="H513" s="133"/>
    </row>
    <row r="514" spans="1:8" ht="15" customHeight="1">
      <c r="A514" s="327"/>
      <c r="B514" s="327"/>
      <c r="C514" s="315"/>
      <c r="D514" s="100" t="s">
        <v>203</v>
      </c>
      <c r="E514" s="70">
        <v>0.02</v>
      </c>
      <c r="G514" s="120" t="str">
        <f>CONCATENATE(D514," - ",E514,", ")</f>
        <v>M.S. Nuts &amp; Bolts Scrap - 0.02, </v>
      </c>
      <c r="H514" s="133"/>
    </row>
    <row r="515" spans="1:8" ht="15" customHeight="1">
      <c r="A515" s="44"/>
      <c r="B515" s="46"/>
      <c r="C515" s="53"/>
      <c r="D515" s="244"/>
      <c r="E515" s="72"/>
      <c r="G515" s="120"/>
      <c r="H515" s="133"/>
    </row>
    <row r="516" spans="1:8" ht="15" customHeight="1">
      <c r="A516" s="59"/>
      <c r="B516" s="60"/>
      <c r="C516" s="60"/>
      <c r="D516" s="63"/>
      <c r="E516" s="58">
        <f>SUM(E518:E520)</f>
        <v>16.012</v>
      </c>
      <c r="G516" s="120"/>
      <c r="H516" s="133"/>
    </row>
    <row r="517" spans="1:18" ht="15" customHeight="1">
      <c r="A517" s="383" t="s">
        <v>5</v>
      </c>
      <c r="B517" s="383"/>
      <c r="C517" s="27" t="s">
        <v>17</v>
      </c>
      <c r="D517" s="88" t="s">
        <v>18</v>
      </c>
      <c r="E517" s="27" t="s">
        <v>7</v>
      </c>
      <c r="G517" s="122" t="str">
        <f>CONCATENATE("Misc. Iron Scrap, Lying at ",C518,". Quantity in MT - ")</f>
        <v>Misc. Iron Scrap, Lying at OL Moga. Quantity in MT - </v>
      </c>
      <c r="H517" s="325" t="str">
        <f ca="1">CONCATENATE(G517,G518,(INDIRECT(I518)),(INDIRECT(J518)),(INDIRECT(K518)),(INDIRECT(L518)),(INDIRECT(M518)),(INDIRECT(N518)),(INDIRECT(O518)),(INDIRECT(P518)),(INDIRECT(Q518)),(INDIRECT(R518)),".")</f>
        <v>Misc. Iron Scrap, Lying at OL Moga. Quantity in MT - MS iron scrap - 9.102, Transformer body scrap - 6.89, M.S. Nuts &amp; Bolts Scrap - 0.02, .</v>
      </c>
      <c r="I517" s="129" t="str">
        <f aca="true" ca="1" t="array" ref="I517">CELL("address",INDEX(G517:G591,MATCH(TRUE,ISBLANK(G517:G591),0)))</f>
        <v>$G$521</v>
      </c>
      <c r="J517" s="129">
        <f aca="true" t="array" ref="J517">MATCH(TRUE,ISBLANK(G517:G591),0)</f>
        <v>5</v>
      </c>
      <c r="K517" s="129">
        <f>J517-3</f>
        <v>2</v>
      </c>
      <c r="L517" s="129"/>
      <c r="M517" s="129"/>
      <c r="N517" s="129"/>
      <c r="O517" s="129"/>
      <c r="P517" s="129"/>
      <c r="Q517" s="129"/>
      <c r="R517" s="129"/>
    </row>
    <row r="518" spans="1:18" ht="15" customHeight="1">
      <c r="A518" s="327" t="s">
        <v>179</v>
      </c>
      <c r="B518" s="327"/>
      <c r="C518" s="315" t="s">
        <v>280</v>
      </c>
      <c r="D518" s="215" t="s">
        <v>29</v>
      </c>
      <c r="E518" s="231">
        <v>9.102</v>
      </c>
      <c r="F518" s="1">
        <v>8.79</v>
      </c>
      <c r="G518" s="120" t="str">
        <f>CONCATENATE(D518," - ",E518,", ")</f>
        <v>MS iron scrap - 9.102, </v>
      </c>
      <c r="H518" s="325"/>
      <c r="I518" s="129" t="str">
        <f ca="1">IF(J517&gt;=3,(MID(I517,2,1)&amp;MID(I517,4,3)-K517),CELL("address",Z518))</f>
        <v>G519</v>
      </c>
      <c r="J518" s="129" t="str">
        <f ca="1">IF(J517&gt;=4,(MID(I518,1,1)&amp;MID(I518,2,3)+1),CELL("address",AA518))</f>
        <v>G520</v>
      </c>
      <c r="K518" s="129" t="str">
        <f ca="1">IF(J517&gt;=5,(MID(J518,1,1)&amp;MID(J518,2,3)+1),CELL("address",AB518))</f>
        <v>G521</v>
      </c>
      <c r="L518" s="129" t="str">
        <f ca="1">IF(J517&gt;=6,(MID(K518,1,1)&amp;MID(K518,2,3)+1),CELL("address",AC518))</f>
        <v>$AC$518</v>
      </c>
      <c r="M518" s="129" t="str">
        <f ca="1">IF(J517&gt;=7,(MID(L518,1,1)&amp;MID(L518,2,3)+1),CELL("address",AD518))</f>
        <v>$AD$518</v>
      </c>
      <c r="N518" s="129" t="str">
        <f ca="1">IF(J517&gt;=8,(MID(M518,1,1)&amp;MID(M518,2,3)+1),CELL("address",AE518))</f>
        <v>$AE$518</v>
      </c>
      <c r="O518" s="129" t="str">
        <f ca="1">IF(J517&gt;=9,(MID(N518,1,1)&amp;MID(N518,2,3)+1),CELL("address",AF518))</f>
        <v>$AF$518</v>
      </c>
      <c r="P518" s="129" t="str">
        <f ca="1">IF(J517&gt;=10,(MID(O518,1,1)&amp;MID(O518,2,3)+1),CELL("address",AG518))</f>
        <v>$AG$518</v>
      </c>
      <c r="Q518" s="129" t="str">
        <f ca="1">IF(J517&gt;=11,(MID(P518,1,1)&amp;MID(P518,2,3)+1),CELL("address",AH518))</f>
        <v>$AH$518</v>
      </c>
      <c r="R518" s="129" t="str">
        <f ca="1">IF(J517&gt;=12,(MID(Q518,1,1)&amp;MID(Q518,2,3)+1),CELL("address",AI518))</f>
        <v>$AI$518</v>
      </c>
    </row>
    <row r="519" spans="1:8" ht="15" customHeight="1">
      <c r="A519" s="327"/>
      <c r="B519" s="327"/>
      <c r="C519" s="315"/>
      <c r="D519" s="214" t="s">
        <v>61</v>
      </c>
      <c r="E519" s="231">
        <v>6.89</v>
      </c>
      <c r="F519" s="1">
        <v>6.345</v>
      </c>
      <c r="G519" s="120" t="str">
        <f>CONCATENATE(D519," - ",E519,", ")</f>
        <v>Transformer body scrap - 6.89, </v>
      </c>
      <c r="H519" s="133"/>
    </row>
    <row r="520" spans="1:8" ht="15" customHeight="1">
      <c r="A520" s="327"/>
      <c r="B520" s="327"/>
      <c r="C520" s="315"/>
      <c r="D520" s="214" t="s">
        <v>203</v>
      </c>
      <c r="E520" s="72">
        <v>0.02</v>
      </c>
      <c r="F520" s="1" t="s">
        <v>387</v>
      </c>
      <c r="G520" s="120" t="str">
        <f>CONCATENATE(D520," - ",E520,", ")</f>
        <v>M.S. Nuts &amp; Bolts Scrap - 0.02, </v>
      </c>
      <c r="H520" s="133"/>
    </row>
    <row r="521" spans="1:8" ht="15" customHeight="1">
      <c r="A521" s="44"/>
      <c r="B521" s="46"/>
      <c r="C521" s="53"/>
      <c r="D521" s="117"/>
      <c r="E521" s="70"/>
      <c r="G521" s="120"/>
      <c r="H521" s="133"/>
    </row>
    <row r="522" spans="1:8" ht="15" customHeight="1">
      <c r="A522" s="59"/>
      <c r="B522" s="60"/>
      <c r="C522" s="60"/>
      <c r="D522" s="61"/>
      <c r="E522" s="62">
        <f>SUM(E524:E526)</f>
        <v>6.781</v>
      </c>
      <c r="G522" s="120"/>
      <c r="H522" s="133"/>
    </row>
    <row r="523" spans="1:18" ht="15" customHeight="1">
      <c r="A523" s="303" t="s">
        <v>5</v>
      </c>
      <c r="B523" s="303"/>
      <c r="C523" s="45" t="s">
        <v>17</v>
      </c>
      <c r="D523" s="228" t="s">
        <v>18</v>
      </c>
      <c r="E523" s="45" t="s">
        <v>7</v>
      </c>
      <c r="G523" s="122" t="str">
        <f>CONCATENATE("Misc. Iron Scrap, Lying at ",C524,". Quantity in MT - ")</f>
        <v>Misc. Iron Scrap, Lying at OL Malerkotla. Quantity in MT - </v>
      </c>
      <c r="H523" s="325" t="str">
        <f ca="1">CONCATENATE(G523,G524,(INDIRECT(I524)),(INDIRECT(J524)),(INDIRECT(K524)),(INDIRECT(L524)),(INDIRECT(M524)),(INDIRECT(N524)),(INDIRECT(O524)),(INDIRECT(P524)),(INDIRECT(Q524)),(INDIRECT(R524)),".")</f>
        <v>Misc. Iron Scrap, Lying at OL Malerkotla. Quantity in MT - MS iron scrap - 2.537, Transformer body scrap - 4.104, MS Rail scrap - 0.14, .</v>
      </c>
      <c r="I523" s="129" t="str">
        <f aca="true" ca="1" t="array" ref="I523">CELL("address",INDEX(G523:G625,MATCH(TRUE,ISBLANK(G523:G625),0)))</f>
        <v>$G$527</v>
      </c>
      <c r="J523" s="129">
        <f aca="true" t="array" ref="J523">MATCH(TRUE,ISBLANK(G523:G625),0)</f>
        <v>5</v>
      </c>
      <c r="K523" s="129">
        <f>J523-3</f>
        <v>2</v>
      </c>
      <c r="L523" s="129"/>
      <c r="M523" s="129"/>
      <c r="N523" s="129"/>
      <c r="O523" s="129"/>
      <c r="P523" s="129"/>
      <c r="Q523" s="129"/>
      <c r="R523" s="129"/>
    </row>
    <row r="524" spans="1:18" ht="15" customHeight="1">
      <c r="A524" s="303" t="s">
        <v>121</v>
      </c>
      <c r="B524" s="303"/>
      <c r="C524" s="315" t="s">
        <v>128</v>
      </c>
      <c r="D524" s="47" t="s">
        <v>29</v>
      </c>
      <c r="E524" s="51">
        <v>2.537</v>
      </c>
      <c r="G524" s="120" t="str">
        <f>CONCATENATE(D524," - ",E524,", ")</f>
        <v>MS iron scrap - 2.537, </v>
      </c>
      <c r="H524" s="325"/>
      <c r="I524" s="129" t="str">
        <f ca="1">IF(J523&gt;=3,(MID(I523,2,1)&amp;MID(I523,4,3)-K523),CELL("address",Z524))</f>
        <v>G525</v>
      </c>
      <c r="J524" s="129" t="str">
        <f ca="1">IF(J523&gt;=4,(MID(I524,1,1)&amp;MID(I524,2,3)+1),CELL("address",AA524))</f>
        <v>G526</v>
      </c>
      <c r="K524" s="129" t="str">
        <f ca="1">IF(J523&gt;=5,(MID(J524,1,1)&amp;MID(J524,2,3)+1),CELL("address",AB524))</f>
        <v>G527</v>
      </c>
      <c r="L524" s="129" t="str">
        <f ca="1">IF(J523&gt;=6,(MID(K524,1,1)&amp;MID(K524,2,3)+1),CELL("address",AC524))</f>
        <v>$AC$524</v>
      </c>
      <c r="M524" s="129" t="str">
        <f ca="1">IF(J523&gt;=7,(MID(L524,1,1)&amp;MID(L524,2,3)+1),CELL("address",AD524))</f>
        <v>$AD$524</v>
      </c>
      <c r="N524" s="129" t="str">
        <f ca="1">IF(J523&gt;=8,(MID(M524,1,1)&amp;MID(M524,2,3)+1),CELL("address",AE524))</f>
        <v>$AE$524</v>
      </c>
      <c r="O524" s="129" t="str">
        <f ca="1">IF(J523&gt;=9,(MID(N524,1,1)&amp;MID(N524,2,3)+1),CELL("address",AF524))</f>
        <v>$AF$524</v>
      </c>
      <c r="P524" s="129" t="str">
        <f ca="1">IF(J523&gt;=10,(MID(O524,1,1)&amp;MID(O524,2,3)+1),CELL("address",AG524))</f>
        <v>$AG$524</v>
      </c>
      <c r="Q524" s="129" t="str">
        <f ca="1">IF(J523&gt;=11,(MID(P524,1,1)&amp;MID(P524,2,3)+1),CELL("address",AH524))</f>
        <v>$AH$524</v>
      </c>
      <c r="R524" s="129" t="str">
        <f ca="1">IF(J523&gt;=12,(MID(Q524,1,1)&amp;MID(Q524,2,3)+1),CELL("address",AI524))</f>
        <v>$AI$524</v>
      </c>
    </row>
    <row r="525" spans="1:8" ht="15" customHeight="1">
      <c r="A525" s="303"/>
      <c r="B525" s="303"/>
      <c r="C525" s="315"/>
      <c r="D525" s="100" t="s">
        <v>61</v>
      </c>
      <c r="E525" s="51">
        <v>4.104</v>
      </c>
      <c r="G525" s="120" t="str">
        <f>CONCATENATE(D525," - ",E525,", ")</f>
        <v>Transformer body scrap - 4.104, </v>
      </c>
      <c r="H525" s="133"/>
    </row>
    <row r="526" spans="1:8" ht="15" customHeight="1">
      <c r="A526" s="303"/>
      <c r="B526" s="303"/>
      <c r="C526" s="315"/>
      <c r="D526" s="47" t="s">
        <v>62</v>
      </c>
      <c r="E526" s="70">
        <v>0.14</v>
      </c>
      <c r="G526" s="120" t="str">
        <f>CONCATENATE(D526," - ",E526,", ")</f>
        <v>MS Rail scrap - 0.14, </v>
      </c>
      <c r="H526" s="133"/>
    </row>
    <row r="527" spans="1:8" ht="15" customHeight="1">
      <c r="A527" s="44"/>
      <c r="B527" s="46"/>
      <c r="C527" s="53"/>
      <c r="D527" s="244"/>
      <c r="E527" s="72"/>
      <c r="G527" s="120"/>
      <c r="H527" s="133"/>
    </row>
    <row r="528" spans="1:8" ht="15" customHeight="1">
      <c r="A528" s="59"/>
      <c r="B528" s="60"/>
      <c r="C528" s="60"/>
      <c r="D528" s="63"/>
      <c r="E528" s="58">
        <f>SUM(E530:E531)</f>
        <v>0.862</v>
      </c>
      <c r="G528" s="120"/>
      <c r="H528" s="133"/>
    </row>
    <row r="529" spans="1:18" ht="15" customHeight="1">
      <c r="A529" s="345" t="s">
        <v>5</v>
      </c>
      <c r="B529" s="345"/>
      <c r="C529" s="85" t="s">
        <v>17</v>
      </c>
      <c r="D529" s="228" t="s">
        <v>18</v>
      </c>
      <c r="E529" s="45" t="s">
        <v>7</v>
      </c>
      <c r="G529" s="122" t="str">
        <f>CONCATENATE("Misc. Iron Scrap, Lying at ",C530,". Quantity in MT - ")</f>
        <v>Misc. Iron Scrap, Lying at OL Bhagta Bhai Ka. Quantity in MT - </v>
      </c>
      <c r="H529" s="325" t="str">
        <f ca="1">CONCATENATE(G529,G530,(INDIRECT(I530)),(INDIRECT(J530)),(INDIRECT(K530)),(INDIRECT(L530)),(INDIRECT(M530)),(INDIRECT(N530)),(INDIRECT(O530)),(INDIRECT(P530)),(INDIRECT(Q530)),(INDIRECT(R530)),".")</f>
        <v>Misc. Iron Scrap, Lying at OL Bhagta Bhai Ka. Quantity in MT - MS iron scrap - 0.45, Transformer body scrap - 0.412, .</v>
      </c>
      <c r="I529" s="129" t="str">
        <f aca="true" ca="1" t="array" ref="I529">CELL("address",INDEX(G529:G640,MATCH(TRUE,ISBLANK(G529:G640),0)))</f>
        <v>$G$532</v>
      </c>
      <c r="J529" s="129">
        <f aca="true" t="array" ref="J529">MATCH(TRUE,ISBLANK(G529:G640),0)</f>
        <v>4</v>
      </c>
      <c r="K529" s="129">
        <f>J529-3</f>
        <v>1</v>
      </c>
      <c r="L529" s="129"/>
      <c r="M529" s="129"/>
      <c r="N529" s="129"/>
      <c r="O529" s="129"/>
      <c r="P529" s="129"/>
      <c r="Q529" s="129"/>
      <c r="R529" s="129"/>
    </row>
    <row r="530" spans="1:18" ht="15" customHeight="1">
      <c r="A530" s="303" t="s">
        <v>204</v>
      </c>
      <c r="B530" s="303"/>
      <c r="C530" s="315" t="s">
        <v>101</v>
      </c>
      <c r="D530" s="45" t="s">
        <v>29</v>
      </c>
      <c r="E530" s="51">
        <v>0.45</v>
      </c>
      <c r="G530" s="120" t="str">
        <f>CONCATENATE(D530," - ",E530,", ")</f>
        <v>MS iron scrap - 0.45, </v>
      </c>
      <c r="H530" s="325"/>
      <c r="I530" s="129" t="str">
        <f ca="1">IF(J529&gt;=3,(MID(I529,2,1)&amp;MID(I529,4,3)-K529),CELL("address",Z530))</f>
        <v>G531</v>
      </c>
      <c r="J530" s="129" t="str">
        <f ca="1">IF(J529&gt;=4,(MID(I530,1,1)&amp;MID(I530,2,3)+1),CELL("address",AA530))</f>
        <v>G532</v>
      </c>
      <c r="K530" s="129" t="str">
        <f ca="1">IF(J529&gt;=5,(MID(J530,1,1)&amp;MID(J530,2,3)+1),CELL("address",AB530))</f>
        <v>$AB$530</v>
      </c>
      <c r="L530" s="129" t="str">
        <f ca="1">IF(J529&gt;=6,(MID(K530,1,1)&amp;MID(K530,2,3)+1),CELL("address",AC530))</f>
        <v>$AC$530</v>
      </c>
      <c r="M530" s="129" t="str">
        <f ca="1">IF(J529&gt;=7,(MID(L530,1,1)&amp;MID(L530,2,3)+1),CELL("address",AD530))</f>
        <v>$AD$530</v>
      </c>
      <c r="N530" s="129" t="str">
        <f ca="1">IF(J529&gt;=8,(MID(M530,1,1)&amp;MID(M530,2,3)+1),CELL("address",AE530))</f>
        <v>$AE$530</v>
      </c>
      <c r="O530" s="129" t="str">
        <f ca="1">IF(J529&gt;=9,(MID(N530,1,1)&amp;MID(N530,2,3)+1),CELL("address",AF530))</f>
        <v>$AF$530</v>
      </c>
      <c r="P530" s="129" t="str">
        <f ca="1">IF(J529&gt;=10,(MID(O530,1,1)&amp;MID(O530,2,3)+1),CELL("address",AG530))</f>
        <v>$AG$530</v>
      </c>
      <c r="Q530" s="129" t="str">
        <f ca="1">IF(J529&gt;=11,(MID(P530,1,1)&amp;MID(P530,2,3)+1),CELL("address",AH530))</f>
        <v>$AH$530</v>
      </c>
      <c r="R530" s="129" t="str">
        <f ca="1">IF(J529&gt;=12,(MID(Q530,1,1)&amp;MID(Q530,2,3)+1),CELL("address",AI530))</f>
        <v>$AI$530</v>
      </c>
    </row>
    <row r="531" spans="1:8" ht="15" customHeight="1">
      <c r="A531" s="303"/>
      <c r="B531" s="303"/>
      <c r="C531" s="315"/>
      <c r="D531" s="50" t="s">
        <v>61</v>
      </c>
      <c r="E531" s="51">
        <v>0.412</v>
      </c>
      <c r="G531" s="120" t="str">
        <f>CONCATENATE(D531," - ",E531,", ")</f>
        <v>Transformer body scrap - 0.412, </v>
      </c>
      <c r="H531" s="133"/>
    </row>
    <row r="532" spans="1:8" ht="15" customHeight="1">
      <c r="A532" s="44"/>
      <c r="B532" s="46"/>
      <c r="C532" s="53"/>
      <c r="D532" s="244"/>
      <c r="E532" s="64"/>
      <c r="G532" s="120"/>
      <c r="H532" s="133"/>
    </row>
    <row r="533" spans="1:8" ht="15" customHeight="1">
      <c r="A533" s="59"/>
      <c r="B533" s="60"/>
      <c r="C533" s="60"/>
      <c r="D533" s="63"/>
      <c r="E533" s="58">
        <f>SUM(E535:E537)</f>
        <v>3.256</v>
      </c>
      <c r="G533" s="120"/>
      <c r="H533" s="133"/>
    </row>
    <row r="534" spans="1:18" ht="15" customHeight="1">
      <c r="A534" s="345" t="s">
        <v>5</v>
      </c>
      <c r="B534" s="345"/>
      <c r="C534" s="85" t="s">
        <v>17</v>
      </c>
      <c r="D534" s="228" t="s">
        <v>18</v>
      </c>
      <c r="E534" s="45" t="s">
        <v>7</v>
      </c>
      <c r="G534" s="122" t="str">
        <f>CONCATENATE("Misc. Iron Scrap, Lying at ",C535,". Quantity in MT - ")</f>
        <v>Misc. Iron Scrap, Lying at OL Shri Mukfsar Sahib. Quantity in MT - </v>
      </c>
      <c r="H534" s="325" t="str">
        <f ca="1">CONCATENATE(G534,G535,(INDIRECT(I535)),(INDIRECT(J535)),(INDIRECT(K535)),(INDIRECT(L535)),(INDIRECT(M535)),(INDIRECT(N535)),(INDIRECT(O535)),(INDIRECT(P535)),(INDIRECT(Q535)),(INDIRECT(R535)),".")</f>
        <v>Misc. Iron Scrap, Lying at OL Shri Mukfsar Sahib. Quantity in MT - MS iron scrap - 0.764, Transformer body scrap - 2.302, G.I. scrap - 0.19, .</v>
      </c>
      <c r="I534" s="129" t="str">
        <f aca="true" ca="1" t="array" ref="I534">CELL("address",INDEX(G534:G645,MATCH(TRUE,ISBLANK(G534:G645),0)))</f>
        <v>$G$538</v>
      </c>
      <c r="J534" s="129">
        <f aca="true" t="array" ref="J534">MATCH(TRUE,ISBLANK(G534:G645),0)</f>
        <v>5</v>
      </c>
      <c r="K534" s="129">
        <f>J534-3</f>
        <v>2</v>
      </c>
      <c r="L534" s="129"/>
      <c r="M534" s="129"/>
      <c r="N534" s="129"/>
      <c r="O534" s="129"/>
      <c r="P534" s="129"/>
      <c r="Q534" s="129"/>
      <c r="R534" s="129"/>
    </row>
    <row r="535" spans="1:18" ht="15" customHeight="1">
      <c r="A535" s="303" t="s">
        <v>211</v>
      </c>
      <c r="B535" s="303"/>
      <c r="C535" s="315" t="s">
        <v>398</v>
      </c>
      <c r="D535" s="47" t="s">
        <v>29</v>
      </c>
      <c r="E535" s="51">
        <v>0.764</v>
      </c>
      <c r="G535" s="120" t="str">
        <f>CONCATENATE(D535," - ",E535,", ")</f>
        <v>MS iron scrap - 0.764, </v>
      </c>
      <c r="H535" s="325"/>
      <c r="I535" s="129" t="str">
        <f ca="1">IF(J534&gt;=3,(MID(I534,2,1)&amp;MID(I534,4,3)-K534),CELL("address",Z535))</f>
        <v>G536</v>
      </c>
      <c r="J535" s="129" t="str">
        <f ca="1">IF(J534&gt;=4,(MID(I535,1,1)&amp;MID(I535,2,3)+1),CELL("address",AA535))</f>
        <v>G537</v>
      </c>
      <c r="K535" s="129" t="str">
        <f ca="1">IF(J534&gt;=5,(MID(J535,1,1)&amp;MID(J535,2,3)+1),CELL("address",AB535))</f>
        <v>G538</v>
      </c>
      <c r="L535" s="129" t="str">
        <f ca="1">IF(J534&gt;=6,(MID(K535,1,1)&amp;MID(K535,2,3)+1),CELL("address",AC535))</f>
        <v>$AC$535</v>
      </c>
      <c r="M535" s="129" t="str">
        <f ca="1">IF(J534&gt;=7,(MID(L535,1,1)&amp;MID(L535,2,3)+1),CELL("address",AD535))</f>
        <v>$AD$535</v>
      </c>
      <c r="N535" s="129" t="str">
        <f ca="1">IF(J534&gt;=8,(MID(M535,1,1)&amp;MID(M535,2,3)+1),CELL("address",AE535))</f>
        <v>$AE$535</v>
      </c>
      <c r="O535" s="129" t="str">
        <f ca="1">IF(J534&gt;=9,(MID(N535,1,1)&amp;MID(N535,2,3)+1),CELL("address",AF535))</f>
        <v>$AF$535</v>
      </c>
      <c r="P535" s="129" t="str">
        <f ca="1">IF(J534&gt;=10,(MID(O535,1,1)&amp;MID(O535,2,3)+1),CELL("address",AG535))</f>
        <v>$AG$535</v>
      </c>
      <c r="Q535" s="129" t="str">
        <f ca="1">IF(J534&gt;=11,(MID(P535,1,1)&amp;MID(P535,2,3)+1),CELL("address",AH535))</f>
        <v>$AH$535</v>
      </c>
      <c r="R535" s="129" t="str">
        <f ca="1">IF(J534&gt;=12,(MID(Q535,1,1)&amp;MID(Q535,2,3)+1),CELL("address",AI535))</f>
        <v>$AI$535</v>
      </c>
    </row>
    <row r="536" spans="1:8" ht="15" customHeight="1">
      <c r="A536" s="303"/>
      <c r="B536" s="303"/>
      <c r="C536" s="315"/>
      <c r="D536" s="100" t="s">
        <v>61</v>
      </c>
      <c r="E536" s="51">
        <v>2.302</v>
      </c>
      <c r="G536" s="120" t="str">
        <f>CONCATENATE(D536," - ",E536,", ")</f>
        <v>Transformer body scrap - 2.302, </v>
      </c>
      <c r="H536" s="133"/>
    </row>
    <row r="537" spans="1:8" ht="15" customHeight="1">
      <c r="A537" s="303"/>
      <c r="B537" s="303"/>
      <c r="C537" s="315"/>
      <c r="D537" s="100" t="s">
        <v>197</v>
      </c>
      <c r="E537" s="68">
        <v>0.19</v>
      </c>
      <c r="G537" s="120" t="str">
        <f>CONCATENATE(D537," - ",E537,", ")</f>
        <v>G.I. scrap - 0.19, </v>
      </c>
      <c r="H537" s="133"/>
    </row>
    <row r="538" spans="1:8" ht="15" customHeight="1">
      <c r="A538" s="44"/>
      <c r="B538" s="46"/>
      <c r="C538" s="53"/>
      <c r="D538" s="244"/>
      <c r="E538" s="64"/>
      <c r="G538" s="124"/>
      <c r="H538" s="216"/>
    </row>
    <row r="539" spans="1:8" ht="15" customHeight="1">
      <c r="A539" s="59"/>
      <c r="B539" s="60"/>
      <c r="C539" s="60"/>
      <c r="D539" s="63"/>
      <c r="E539" s="58">
        <f>SUM(E541:E541)</f>
        <v>0.148</v>
      </c>
      <c r="G539" s="124"/>
      <c r="H539" s="216"/>
    </row>
    <row r="540" spans="1:18" ht="15" customHeight="1">
      <c r="A540" s="345" t="s">
        <v>5</v>
      </c>
      <c r="B540" s="345"/>
      <c r="C540" s="85" t="s">
        <v>17</v>
      </c>
      <c r="D540" s="228" t="s">
        <v>18</v>
      </c>
      <c r="E540" s="45" t="s">
        <v>7</v>
      </c>
      <c r="G540" s="122" t="str">
        <f>CONCATENATE("Misc. Iron Scrap, Lying at ",C541,". Quantity in MT - ")</f>
        <v>Misc. Iron Scrap, Lying at OL Rajpura. Quantity in MT - </v>
      </c>
      <c r="H540" s="325" t="str">
        <f ca="1">CONCATENATE(G540,G541,(INDIRECT(I541)),(INDIRECT(J541)),(INDIRECT(K541)),(INDIRECT(L541)),(INDIRECT(M541)),(INDIRECT(N541)),(INDIRECT(O541)),(INDIRECT(P541)),(INDIRECT(Q541)),(INDIRECT(R541)),".")</f>
        <v>Misc. Iron Scrap, Lying at OL Rajpura. Quantity in MT - MS iron scrap - 0.148, .</v>
      </c>
      <c r="I540" s="129" t="str">
        <f aca="true" ca="1" t="array" ref="I540">CELL("address",INDEX(G540:G664,MATCH(TRUE,ISBLANK(G540:G664),0)))</f>
        <v>$G$542</v>
      </c>
      <c r="J540" s="129">
        <f aca="true" t="array" ref="J540">MATCH(TRUE,ISBLANK(G540:G664),0)</f>
        <v>3</v>
      </c>
      <c r="K540" s="129">
        <f>J540-3</f>
        <v>0</v>
      </c>
      <c r="L540" s="129"/>
      <c r="M540" s="129"/>
      <c r="N540" s="129"/>
      <c r="O540" s="129"/>
      <c r="P540" s="129"/>
      <c r="Q540" s="129"/>
      <c r="R540" s="129"/>
    </row>
    <row r="541" spans="1:18" ht="15" customHeight="1">
      <c r="A541" s="303" t="s">
        <v>212</v>
      </c>
      <c r="B541" s="303"/>
      <c r="C541" s="228" t="s">
        <v>105</v>
      </c>
      <c r="D541" s="47" t="s">
        <v>29</v>
      </c>
      <c r="E541" s="51">
        <v>0.148</v>
      </c>
      <c r="G541" s="120" t="str">
        <f>CONCATENATE(D541," - ",E541,", ")</f>
        <v>MS iron scrap - 0.148, </v>
      </c>
      <c r="H541" s="325"/>
      <c r="I541" s="129" t="str">
        <f ca="1">IF(J540&gt;=3,(MID(I540,2,1)&amp;MID(I540,4,3)-K540),CELL("address",Z541))</f>
        <v>G542</v>
      </c>
      <c r="J541" s="129" t="str">
        <f ca="1">IF(J540&gt;=4,(MID(I541,1,1)&amp;MID(I541,2,3)+1),CELL("address",AA541))</f>
        <v>$AA$541</v>
      </c>
      <c r="K541" s="129" t="str">
        <f ca="1">IF(J540&gt;=5,(MID(J541,1,1)&amp;MID(J541,2,3)+1),CELL("address",AB541))</f>
        <v>$AB$541</v>
      </c>
      <c r="L541" s="129" t="str">
        <f ca="1">IF(J540&gt;=6,(MID(K541,1,1)&amp;MID(K541,2,3)+1),CELL("address",AC541))</f>
        <v>$AC$541</v>
      </c>
      <c r="M541" s="129" t="str">
        <f ca="1">IF(J540&gt;=7,(MID(L541,1,1)&amp;MID(L541,2,3)+1),CELL("address",AD541))</f>
        <v>$AD$541</v>
      </c>
      <c r="N541" s="129" t="str">
        <f ca="1">IF(J540&gt;=8,(MID(M541,1,1)&amp;MID(M541,2,3)+1),CELL("address",AE541))</f>
        <v>$AE$541</v>
      </c>
      <c r="O541" s="129" t="str">
        <f ca="1">IF(J540&gt;=9,(MID(N541,1,1)&amp;MID(N541,2,3)+1),CELL("address",AF541))</f>
        <v>$AF$541</v>
      </c>
      <c r="P541" s="129" t="str">
        <f ca="1">IF(J540&gt;=10,(MID(O541,1,1)&amp;MID(O541,2,3)+1),CELL("address",AG541))</f>
        <v>$AG$541</v>
      </c>
      <c r="Q541" s="129" t="str">
        <f ca="1">IF(J540&gt;=11,(MID(P541,1,1)&amp;MID(P541,2,3)+1),CELL("address",AH541))</f>
        <v>$AH$541</v>
      </c>
      <c r="R541" s="129" t="str">
        <f ca="1">IF(J540&gt;=12,(MID(Q541,1,1)&amp;MID(Q541,2,3)+1),CELL("address",AI541))</f>
        <v>$AI$541</v>
      </c>
    </row>
    <row r="542" spans="1:18" ht="15" customHeight="1">
      <c r="A542" s="44"/>
      <c r="B542" s="46"/>
      <c r="C542" s="53"/>
      <c r="D542" s="46"/>
      <c r="E542" s="68"/>
      <c r="G542" s="124"/>
      <c r="H542" s="291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</row>
    <row r="543" spans="1:18" ht="15" customHeight="1">
      <c r="A543" s="59"/>
      <c r="B543" s="60"/>
      <c r="C543" s="60"/>
      <c r="D543" s="63"/>
      <c r="E543" s="58">
        <f>SUM(E545:E545)</f>
        <v>2</v>
      </c>
      <c r="G543" s="124"/>
      <c r="H543" s="291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</row>
    <row r="544" spans="1:18" ht="15" customHeight="1">
      <c r="A544" s="345" t="s">
        <v>5</v>
      </c>
      <c r="B544" s="345"/>
      <c r="C544" s="85" t="s">
        <v>17</v>
      </c>
      <c r="D544" s="278" t="s">
        <v>18</v>
      </c>
      <c r="E544" s="45" t="s">
        <v>70</v>
      </c>
      <c r="G544" s="122" t="str">
        <f>CONCATENATE("U/S Tyres, Lying at ",C545,". Quantity in No - ")</f>
        <v>U/S Tyres, Lying at CS Sangrur. Quantity in No - </v>
      </c>
      <c r="H544" s="325" t="str">
        <f ca="1">CONCATENATE(G544,G545,(INDIRECT(I545)),(INDIRECT(J545)),(INDIRECT(K545)),(INDIRECT(L545)),(INDIRECT(M545)),(INDIRECT(N545)),(INDIRECT(O545)),(INDIRECT(P545)),(INDIRECT(Q545)),(INDIRECT(R545)),".")</f>
        <v>U/S Tyres, Lying at CS Sangrur. Quantity in No - U/S Tyres - 2, .</v>
      </c>
      <c r="I544" s="129" t="str">
        <f aca="true" ca="1" t="array" ref="I544">CELL("address",INDEX(G544:G668,MATCH(TRUE,ISBLANK(G544:G668),0)))</f>
        <v>$G$546</v>
      </c>
      <c r="J544" s="129">
        <f aca="true" t="array" ref="J544">MATCH(TRUE,ISBLANK(G544:G668),0)</f>
        <v>3</v>
      </c>
      <c r="K544" s="129">
        <f>J544-3</f>
        <v>0</v>
      </c>
      <c r="L544" s="129"/>
      <c r="M544" s="129"/>
      <c r="N544" s="129"/>
      <c r="O544" s="129"/>
      <c r="P544" s="129"/>
      <c r="Q544" s="129"/>
      <c r="R544" s="129"/>
    </row>
    <row r="545" spans="1:18" ht="15" customHeight="1">
      <c r="A545" s="327" t="s">
        <v>180</v>
      </c>
      <c r="B545" s="327"/>
      <c r="C545" s="278" t="s">
        <v>80</v>
      </c>
      <c r="D545" s="215" t="s">
        <v>474</v>
      </c>
      <c r="E545" s="282">
        <v>2</v>
      </c>
      <c r="F545" s="1" t="s">
        <v>387</v>
      </c>
      <c r="G545" s="120" t="str">
        <f>CONCATENATE(D545," - ",E545,", ")</f>
        <v>U/S Tyres - 2, </v>
      </c>
      <c r="H545" s="325"/>
      <c r="I545" s="129" t="str">
        <f ca="1">IF(J544&gt;=3,(MID(I544,2,1)&amp;MID(I544,4,3)-K544),CELL("address",Z545))</f>
        <v>G546</v>
      </c>
      <c r="J545" s="129" t="str">
        <f ca="1">IF(J544&gt;=4,(MID(I545,1,1)&amp;MID(I545,2,3)+1),CELL("address",AA545))</f>
        <v>$AA$545</v>
      </c>
      <c r="K545" s="129" t="str">
        <f ca="1">IF(J544&gt;=5,(MID(J545,1,1)&amp;MID(J545,2,3)+1),CELL("address",AB545))</f>
        <v>$AB$545</v>
      </c>
      <c r="L545" s="129" t="str">
        <f ca="1">IF(J544&gt;=6,(MID(K545,1,1)&amp;MID(K545,2,3)+1),CELL("address",AC545))</f>
        <v>$AC$545</v>
      </c>
      <c r="M545" s="129" t="str">
        <f ca="1">IF(J544&gt;=7,(MID(L545,1,1)&amp;MID(L545,2,3)+1),CELL("address",AD545))</f>
        <v>$AD$545</v>
      </c>
      <c r="N545" s="129" t="str">
        <f ca="1">IF(J544&gt;=8,(MID(M545,1,1)&amp;MID(M545,2,3)+1),CELL("address",AE545))</f>
        <v>$AE$545</v>
      </c>
      <c r="O545" s="129" t="str">
        <f ca="1">IF(J544&gt;=9,(MID(N545,1,1)&amp;MID(N545,2,3)+1),CELL("address",AF545))</f>
        <v>$AF$545</v>
      </c>
      <c r="P545" s="129" t="str">
        <f ca="1">IF(J544&gt;=10,(MID(O545,1,1)&amp;MID(O545,2,3)+1),CELL("address",AG545))</f>
        <v>$AG$545</v>
      </c>
      <c r="Q545" s="129" t="str">
        <f ca="1">IF(J544&gt;=11,(MID(P545,1,1)&amp;MID(P545,2,3)+1),CELL("address",AH545))</f>
        <v>$AH$545</v>
      </c>
      <c r="R545" s="129" t="str">
        <f ca="1">IF(J544&gt;=12,(MID(Q545,1,1)&amp;MID(Q545,2,3)+1),CELL("address",AI545))</f>
        <v>$AI$545</v>
      </c>
    </row>
    <row r="546" spans="1:18" ht="15" customHeight="1">
      <c r="A546" s="44"/>
      <c r="B546" s="46"/>
      <c r="C546" s="53"/>
      <c r="D546" s="46"/>
      <c r="E546" s="68"/>
      <c r="G546" s="124"/>
      <c r="H546" s="291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</row>
    <row r="547" spans="1:18" ht="15" customHeight="1">
      <c r="A547" s="59"/>
      <c r="B547" s="60"/>
      <c r="C547" s="60"/>
      <c r="D547" s="63"/>
      <c r="E547" s="58">
        <f>SUM(E549:E549)</f>
        <v>60</v>
      </c>
      <c r="G547" s="124"/>
      <c r="H547" s="291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</row>
    <row r="548" spans="1:18" ht="15" customHeight="1">
      <c r="A548" s="345" t="s">
        <v>5</v>
      </c>
      <c r="B548" s="345"/>
      <c r="C548" s="85" t="s">
        <v>17</v>
      </c>
      <c r="D548" s="278" t="s">
        <v>18</v>
      </c>
      <c r="E548" s="45" t="s">
        <v>70</v>
      </c>
      <c r="G548" s="122" t="str">
        <f>CONCATENATE("U/S Tyres, Lying at ",C549,". Quantity in No - ")</f>
        <v>U/S Tyres, Lying at CS Patiala. Quantity in No - </v>
      </c>
      <c r="H548" s="325" t="str">
        <f ca="1">CONCATENATE(G548,G549,(INDIRECT(I549)),(INDIRECT(J549)),(INDIRECT(K549)),(INDIRECT(L549)),(INDIRECT(M549)),(INDIRECT(N549)),(INDIRECT(O549)),(INDIRECT(P549)),(INDIRECT(Q549)),(INDIRECT(R549)),".")</f>
        <v>U/S Tyres, Lying at CS Patiala. Quantity in No - U/S Tyres - 60, U/S Tubes - 45, .</v>
      </c>
      <c r="I548" s="129" t="str">
        <f aca="true" ca="1" t="array" ref="I548">CELL("address",INDEX(G548:G672,MATCH(TRUE,ISBLANK(G548:G672),0)))</f>
        <v>$G$551</v>
      </c>
      <c r="J548" s="129">
        <f aca="true" t="array" ref="J548">MATCH(TRUE,ISBLANK(G548:G672),0)</f>
        <v>4</v>
      </c>
      <c r="K548" s="129">
        <f>J548-3</f>
        <v>1</v>
      </c>
      <c r="L548" s="129"/>
      <c r="M548" s="129"/>
      <c r="N548" s="129"/>
      <c r="O548" s="129"/>
      <c r="P548" s="129"/>
      <c r="Q548" s="129"/>
      <c r="R548" s="129"/>
    </row>
    <row r="549" spans="1:18" ht="15" customHeight="1">
      <c r="A549" s="327" t="s">
        <v>181</v>
      </c>
      <c r="B549" s="327"/>
      <c r="C549" s="315" t="s">
        <v>53</v>
      </c>
      <c r="D549" s="280" t="s">
        <v>474</v>
      </c>
      <c r="E549" s="301">
        <v>60</v>
      </c>
      <c r="F549" s="1" t="s">
        <v>387</v>
      </c>
      <c r="G549" s="120" t="str">
        <f>CONCATENATE(D549," - ",E549,", ")</f>
        <v>U/S Tyres - 60, </v>
      </c>
      <c r="H549" s="325"/>
      <c r="I549" s="129" t="str">
        <f ca="1">IF(J548&gt;=3,(MID(I548,2,1)&amp;MID(I548,4,3)-K548),CELL("address",Z549))</f>
        <v>G550</v>
      </c>
      <c r="J549" s="129" t="str">
        <f ca="1">IF(J548&gt;=4,(MID(I549,1,1)&amp;MID(I549,2,3)+1),CELL("address",AA549))</f>
        <v>G551</v>
      </c>
      <c r="K549" s="129" t="str">
        <f ca="1">IF(J548&gt;=5,(MID(J549,1,1)&amp;MID(J549,2,3)+1),CELL("address",AB549))</f>
        <v>$AB$549</v>
      </c>
      <c r="L549" s="129" t="str">
        <f ca="1">IF(J548&gt;=6,(MID(K549,1,1)&amp;MID(K549,2,3)+1),CELL("address",AC549))</f>
        <v>$AC$549</v>
      </c>
      <c r="M549" s="129" t="str">
        <f ca="1">IF(J548&gt;=7,(MID(L549,1,1)&amp;MID(L549,2,3)+1),CELL("address",AD549))</f>
        <v>$AD$549</v>
      </c>
      <c r="N549" s="129" t="str">
        <f ca="1">IF(J548&gt;=8,(MID(M549,1,1)&amp;MID(M549,2,3)+1),CELL("address",AE549))</f>
        <v>$AE$549</v>
      </c>
      <c r="O549" s="129" t="str">
        <f ca="1">IF(J548&gt;=9,(MID(N549,1,1)&amp;MID(N549,2,3)+1),CELL("address",AF549))</f>
        <v>$AF$549</v>
      </c>
      <c r="P549" s="129" t="str">
        <f ca="1">IF(J548&gt;=10,(MID(O549,1,1)&amp;MID(O549,2,3)+1),CELL("address",AG549))</f>
        <v>$AG$549</v>
      </c>
      <c r="Q549" s="129" t="str">
        <f ca="1">IF(J548&gt;=11,(MID(P549,1,1)&amp;MID(P549,2,3)+1),CELL("address",AH549))</f>
        <v>$AH$549</v>
      </c>
      <c r="R549" s="129" t="str">
        <f ca="1">IF(J548&gt;=12,(MID(Q549,1,1)&amp;MID(Q549,2,3)+1),CELL("address",AI549))</f>
        <v>$AI$549</v>
      </c>
    </row>
    <row r="550" spans="1:18" ht="15" customHeight="1">
      <c r="A550" s="327"/>
      <c r="B550" s="327"/>
      <c r="C550" s="315"/>
      <c r="D550" s="280" t="s">
        <v>475</v>
      </c>
      <c r="E550" s="301">
        <v>45</v>
      </c>
      <c r="F550" s="1" t="s">
        <v>387</v>
      </c>
      <c r="G550" s="120" t="str">
        <f>CONCATENATE(D550," - ",E550,", ")</f>
        <v>U/S Tubes - 45, </v>
      </c>
      <c r="H550" s="291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</row>
    <row r="551" spans="1:18" ht="15" customHeight="1">
      <c r="A551" s="44"/>
      <c r="B551" s="46"/>
      <c r="C551" s="53"/>
      <c r="D551" s="244"/>
      <c r="E551" s="64"/>
      <c r="G551" s="124"/>
      <c r="H551" s="291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</row>
    <row r="552" spans="1:18" ht="15" customHeight="1">
      <c r="A552" s="59"/>
      <c r="B552" s="60"/>
      <c r="C552" s="60"/>
      <c r="D552" s="63"/>
      <c r="E552" s="58">
        <f>SUM(E554:E554)</f>
        <v>0.155</v>
      </c>
      <c r="G552" s="124"/>
      <c r="H552" s="291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</row>
    <row r="553" spans="1:18" ht="15" customHeight="1">
      <c r="A553" s="345" t="s">
        <v>5</v>
      </c>
      <c r="B553" s="345"/>
      <c r="C553" s="85" t="s">
        <v>17</v>
      </c>
      <c r="D553" s="278" t="s">
        <v>18</v>
      </c>
      <c r="E553" s="45" t="s">
        <v>7</v>
      </c>
      <c r="G553" s="122" t="str">
        <f>CONCATENATE("Tubular Poles, Lying at ",C554,". Quantity in MT - ")</f>
        <v>Tubular Poles, Lying at CS Sangrur. Quantity in MT - </v>
      </c>
      <c r="H553" s="325" t="str">
        <f ca="1">CONCATENATE(G553,G554,(INDIRECT(I554)),(INDIRECT(J554)),(INDIRECT(K554)),(INDIRECT(L554)),(INDIRECT(M554)),(INDIRECT(N554)),(INDIRECT(O554)),(INDIRECT(P554)),(INDIRECT(Q554)),(INDIRECT(R554)),".")</f>
        <v>Tubular Poles, Lying at CS Sangrur. Quantity in MT - Tubular Poles - 0.155, .</v>
      </c>
      <c r="I553" s="129" t="str">
        <f aca="true" ca="1" t="array" ref="I553">CELL("address",INDEX(G553:G677,MATCH(TRUE,ISBLANK(G553:G677),0)))</f>
        <v>$G$555</v>
      </c>
      <c r="J553" s="129">
        <f aca="true" t="array" ref="J553">MATCH(TRUE,ISBLANK(G553:G677),0)</f>
        <v>3</v>
      </c>
      <c r="K553" s="129">
        <f>J553-3</f>
        <v>0</v>
      </c>
      <c r="L553" s="129"/>
      <c r="M553" s="129"/>
      <c r="N553" s="129"/>
      <c r="O553" s="129"/>
      <c r="P553" s="129"/>
      <c r="Q553" s="129"/>
      <c r="R553" s="129"/>
    </row>
    <row r="554" spans="1:18" ht="15" customHeight="1">
      <c r="A554" s="327" t="s">
        <v>388</v>
      </c>
      <c r="B554" s="327"/>
      <c r="C554" s="278" t="s">
        <v>80</v>
      </c>
      <c r="D554" s="215" t="s">
        <v>484</v>
      </c>
      <c r="E554" s="282">
        <v>0.155</v>
      </c>
      <c r="F554" s="1" t="s">
        <v>248</v>
      </c>
      <c r="G554" s="120" t="str">
        <f>CONCATENATE(D554," - ",E554,", ")</f>
        <v>Tubular Poles - 0.155, </v>
      </c>
      <c r="H554" s="325"/>
      <c r="I554" s="129" t="str">
        <f ca="1">IF(J553&gt;=3,(MID(I553,2,1)&amp;MID(I553,4,3)-K553),CELL("address",Z554))</f>
        <v>G555</v>
      </c>
      <c r="J554" s="129" t="str">
        <f ca="1">IF(J553&gt;=4,(MID(I554,1,1)&amp;MID(I554,2,3)+1),CELL("address",AA554))</f>
        <v>$AA$554</v>
      </c>
      <c r="K554" s="129" t="str">
        <f ca="1">IF(J553&gt;=5,(MID(J554,1,1)&amp;MID(J554,2,3)+1),CELL("address",AB554))</f>
        <v>$AB$554</v>
      </c>
      <c r="L554" s="129" t="str">
        <f ca="1">IF(J553&gt;=6,(MID(K554,1,1)&amp;MID(K554,2,3)+1),CELL("address",AC554))</f>
        <v>$AC$554</v>
      </c>
      <c r="M554" s="129" t="str">
        <f ca="1">IF(J553&gt;=7,(MID(L554,1,1)&amp;MID(L554,2,3)+1),CELL("address",AD554))</f>
        <v>$AD$554</v>
      </c>
      <c r="N554" s="129" t="str">
        <f ca="1">IF(J553&gt;=8,(MID(M554,1,1)&amp;MID(M554,2,3)+1),CELL("address",AE554))</f>
        <v>$AE$554</v>
      </c>
      <c r="O554" s="129" t="str">
        <f ca="1">IF(J553&gt;=9,(MID(N554,1,1)&amp;MID(N554,2,3)+1),CELL("address",AF554))</f>
        <v>$AF$554</v>
      </c>
      <c r="P554" s="129" t="str">
        <f ca="1">IF(J553&gt;=10,(MID(O554,1,1)&amp;MID(O554,2,3)+1),CELL("address",AG554))</f>
        <v>$AG$554</v>
      </c>
      <c r="Q554" s="129" t="str">
        <f ca="1">IF(J553&gt;=11,(MID(P554,1,1)&amp;MID(P554,2,3)+1),CELL("address",AH554))</f>
        <v>$AH$554</v>
      </c>
      <c r="R554" s="129" t="str">
        <f ca="1">IF(J553&gt;=12,(MID(Q554,1,1)&amp;MID(Q554,2,3)+1),CELL("address",AI554))</f>
        <v>$AI$554</v>
      </c>
    </row>
    <row r="555" spans="1:18" ht="15" customHeight="1">
      <c r="A555" s="44"/>
      <c r="B555" s="46"/>
      <c r="C555" s="53"/>
      <c r="D555" s="244"/>
      <c r="E555" s="64"/>
      <c r="G555" s="124"/>
      <c r="H555" s="291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</row>
    <row r="556" spans="1:18" ht="15" customHeight="1">
      <c r="A556" s="59"/>
      <c r="B556" s="60"/>
      <c r="C556" s="60"/>
      <c r="D556" s="63"/>
      <c r="E556" s="58">
        <f>SUM(E558:E558)</f>
        <v>0.282</v>
      </c>
      <c r="G556" s="124"/>
      <c r="H556" s="291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</row>
    <row r="557" spans="1:18" ht="15" customHeight="1">
      <c r="A557" s="345" t="s">
        <v>5</v>
      </c>
      <c r="B557" s="345"/>
      <c r="C557" s="85" t="s">
        <v>17</v>
      </c>
      <c r="D557" s="278" t="s">
        <v>18</v>
      </c>
      <c r="E557" s="45" t="s">
        <v>7</v>
      </c>
      <c r="G557" s="122" t="str">
        <f>CONCATENATE("Tubular Poles, Lying at ",C558,". Quantity in MT - ")</f>
        <v>Tubular Poles, Lying at OL Barnala. Quantity in MT - </v>
      </c>
      <c r="H557" s="325" t="str">
        <f ca="1">CONCATENATE(G557,G558,(INDIRECT(I558)),(INDIRECT(J558)),(INDIRECT(K558)),(INDIRECT(L558)),(INDIRECT(M558)),(INDIRECT(N558)),(INDIRECT(O558)),(INDIRECT(P558)),(INDIRECT(Q558)),(INDIRECT(R558)),".")</f>
        <v>Tubular Poles, Lying at OL Barnala. Quantity in MT - Tubular Poles - 0.282, .</v>
      </c>
      <c r="I557" s="129" t="str">
        <f aca="true" ca="1" t="array" ref="I557">CELL("address",INDEX(G557:G681,MATCH(TRUE,ISBLANK(G557:G681),0)))</f>
        <v>$G$559</v>
      </c>
      <c r="J557" s="129">
        <f aca="true" t="array" ref="J557">MATCH(TRUE,ISBLANK(G557:G681),0)</f>
        <v>3</v>
      </c>
      <c r="K557" s="129">
        <f>J557-3</f>
        <v>0</v>
      </c>
      <c r="L557" s="129"/>
      <c r="M557" s="129"/>
      <c r="N557" s="129"/>
      <c r="O557" s="129"/>
      <c r="P557" s="129"/>
      <c r="Q557" s="129"/>
      <c r="R557" s="129"/>
    </row>
    <row r="558" spans="1:18" ht="15" customHeight="1">
      <c r="A558" s="327" t="s">
        <v>485</v>
      </c>
      <c r="B558" s="327"/>
      <c r="C558" s="278" t="s">
        <v>194</v>
      </c>
      <c r="D558" s="215" t="s">
        <v>484</v>
      </c>
      <c r="E558" s="282">
        <v>0.282</v>
      </c>
      <c r="F558" s="1" t="s">
        <v>387</v>
      </c>
      <c r="G558" s="120" t="str">
        <f>CONCATENATE(D558," - ",E558,", ")</f>
        <v>Tubular Poles - 0.282, </v>
      </c>
      <c r="H558" s="325"/>
      <c r="I558" s="129" t="str">
        <f ca="1">IF(J557&gt;=3,(MID(I557,2,1)&amp;MID(I557,4,3)-K557),CELL("address",Z558))</f>
        <v>G559</v>
      </c>
      <c r="J558" s="129" t="str">
        <f ca="1">IF(J557&gt;=4,(MID(I558,1,1)&amp;MID(I558,2,3)+1),CELL("address",AA558))</f>
        <v>$AA$558</v>
      </c>
      <c r="K558" s="129" t="str">
        <f ca="1">IF(J557&gt;=5,(MID(J558,1,1)&amp;MID(J558,2,3)+1),CELL("address",AB558))</f>
        <v>$AB$558</v>
      </c>
      <c r="L558" s="129" t="str">
        <f ca="1">IF(J557&gt;=6,(MID(K558,1,1)&amp;MID(K558,2,3)+1),CELL("address",AC558))</f>
        <v>$AC$558</v>
      </c>
      <c r="M558" s="129" t="str">
        <f ca="1">IF(J557&gt;=7,(MID(L558,1,1)&amp;MID(L558,2,3)+1),CELL("address",AD558))</f>
        <v>$AD$558</v>
      </c>
      <c r="N558" s="129" t="str">
        <f ca="1">IF(J557&gt;=8,(MID(M558,1,1)&amp;MID(M558,2,3)+1),CELL("address",AE558))</f>
        <v>$AE$558</v>
      </c>
      <c r="O558" s="129" t="str">
        <f ca="1">IF(J557&gt;=9,(MID(N558,1,1)&amp;MID(N558,2,3)+1),CELL("address",AF558))</f>
        <v>$AF$558</v>
      </c>
      <c r="P558" s="129" t="str">
        <f ca="1">IF(J557&gt;=10,(MID(O558,1,1)&amp;MID(O558,2,3)+1),CELL("address",AG558))</f>
        <v>$AG$558</v>
      </c>
      <c r="Q558" s="129" t="str">
        <f ca="1">IF(J557&gt;=11,(MID(P558,1,1)&amp;MID(P558,2,3)+1),CELL("address",AH558))</f>
        <v>$AH$558</v>
      </c>
      <c r="R558" s="129" t="str">
        <f ca="1">IF(J557&gt;=12,(MID(Q558,1,1)&amp;MID(Q558,2,3)+1),CELL("address",AI558))</f>
        <v>$AI$558</v>
      </c>
    </row>
    <row r="559" spans="1:18" ht="15" customHeight="1">
      <c r="A559" s="44"/>
      <c r="B559" s="46"/>
      <c r="C559" s="53"/>
      <c r="D559" s="244"/>
      <c r="E559" s="64"/>
      <c r="G559" s="124"/>
      <c r="H559" s="291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</row>
    <row r="560" spans="1:18" ht="15" customHeight="1">
      <c r="A560" s="59"/>
      <c r="B560" s="60"/>
      <c r="C560" s="60"/>
      <c r="D560" s="63"/>
      <c r="E560" s="58">
        <f>SUM(E562:E562)</f>
        <v>0.095</v>
      </c>
      <c r="G560" s="124"/>
      <c r="H560" s="291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</row>
    <row r="561" spans="1:18" ht="15" customHeight="1">
      <c r="A561" s="345" t="s">
        <v>5</v>
      </c>
      <c r="B561" s="345"/>
      <c r="C561" s="85" t="s">
        <v>17</v>
      </c>
      <c r="D561" s="278" t="s">
        <v>18</v>
      </c>
      <c r="E561" s="45" t="s">
        <v>7</v>
      </c>
      <c r="G561" s="122" t="str">
        <f>CONCATENATE("Piller box scrap, Lying at ",C562,". Quantity in MT - ")</f>
        <v>Piller box scrap, Lying at CS Mohali. Quantity in MT - </v>
      </c>
      <c r="H561" s="325" t="str">
        <f ca="1">CONCATENATE(G561,G562,(INDIRECT(I562)),(INDIRECT(J562)),(INDIRECT(K562)),(INDIRECT(L562)),(INDIRECT(M562)),(INDIRECT(N562)),(INDIRECT(O562)),(INDIRECT(P562)),(INDIRECT(Q562)),(INDIRECT(R562)),".")</f>
        <v>Piller box scrap, Lying at CS Mohali. Quantity in MT - Piller box scrap - 0.095, .</v>
      </c>
      <c r="I561" s="129" t="str">
        <f aca="true" ca="1" t="array" ref="I561">CELL("address",INDEX(G561:G685,MATCH(TRUE,ISBLANK(G561:G685),0)))</f>
        <v>$G$563</v>
      </c>
      <c r="J561" s="129">
        <f aca="true" t="array" ref="J561">MATCH(TRUE,ISBLANK(G561:G685),0)</f>
        <v>3</v>
      </c>
      <c r="K561" s="129">
        <f>J561-3</f>
        <v>0</v>
      </c>
      <c r="L561" s="129"/>
      <c r="M561" s="129"/>
      <c r="N561" s="129"/>
      <c r="O561" s="129"/>
      <c r="P561" s="129"/>
      <c r="Q561" s="129"/>
      <c r="R561" s="129"/>
    </row>
    <row r="562" spans="1:18" ht="15" customHeight="1">
      <c r="A562" s="327" t="s">
        <v>196</v>
      </c>
      <c r="B562" s="327"/>
      <c r="C562" s="278" t="s">
        <v>63</v>
      </c>
      <c r="D562" s="215" t="s">
        <v>489</v>
      </c>
      <c r="E562" s="282">
        <v>0.095</v>
      </c>
      <c r="F562" s="1" t="s">
        <v>387</v>
      </c>
      <c r="G562" s="120" t="str">
        <f>CONCATENATE(D562," - ",E562,", ")</f>
        <v>Piller box scrap - 0.095, </v>
      </c>
      <c r="H562" s="325"/>
      <c r="I562" s="129" t="str">
        <f ca="1">IF(J561&gt;=3,(MID(I561,2,1)&amp;MID(I561,4,3)-K561),CELL("address",Z562))</f>
        <v>G563</v>
      </c>
      <c r="J562" s="129" t="str">
        <f ca="1">IF(J561&gt;=4,(MID(I562,1,1)&amp;MID(I562,2,3)+1),CELL("address",AA562))</f>
        <v>$AA$562</v>
      </c>
      <c r="K562" s="129" t="str">
        <f ca="1">IF(J561&gt;=5,(MID(J562,1,1)&amp;MID(J562,2,3)+1),CELL("address",AB562))</f>
        <v>$AB$562</v>
      </c>
      <c r="L562" s="129" t="str">
        <f ca="1">IF(J561&gt;=6,(MID(K562,1,1)&amp;MID(K562,2,3)+1),CELL("address",AC562))</f>
        <v>$AC$562</v>
      </c>
      <c r="M562" s="129" t="str">
        <f ca="1">IF(J561&gt;=7,(MID(L562,1,1)&amp;MID(L562,2,3)+1),CELL("address",AD562))</f>
        <v>$AD$562</v>
      </c>
      <c r="N562" s="129" t="str">
        <f ca="1">IF(J561&gt;=8,(MID(M562,1,1)&amp;MID(M562,2,3)+1),CELL("address",AE562))</f>
        <v>$AE$562</v>
      </c>
      <c r="O562" s="129" t="str">
        <f ca="1">IF(J561&gt;=9,(MID(N562,1,1)&amp;MID(N562,2,3)+1),CELL("address",AF562))</f>
        <v>$AF$562</v>
      </c>
      <c r="P562" s="129" t="str">
        <f ca="1">IF(J561&gt;=10,(MID(O562,1,1)&amp;MID(O562,2,3)+1),CELL("address",AG562))</f>
        <v>$AG$562</v>
      </c>
      <c r="Q562" s="129" t="str">
        <f ca="1">IF(J561&gt;=11,(MID(P562,1,1)&amp;MID(P562,2,3)+1),CELL("address",AH562))</f>
        <v>$AH$562</v>
      </c>
      <c r="R562" s="129" t="str">
        <f ca="1">IF(J561&gt;=12,(MID(Q562,1,1)&amp;MID(Q562,2,3)+1),CELL("address",AI562))</f>
        <v>$AI$562</v>
      </c>
    </row>
    <row r="563" spans="1:18" ht="15" customHeight="1">
      <c r="A563" s="44"/>
      <c r="B563" s="46"/>
      <c r="C563" s="53"/>
      <c r="D563" s="244"/>
      <c r="E563" s="64"/>
      <c r="G563" s="124"/>
      <c r="H563" s="291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</row>
    <row r="564" spans="1:18" ht="15" customHeight="1">
      <c r="A564" s="59"/>
      <c r="B564" s="60"/>
      <c r="C564" s="60"/>
      <c r="D564" s="63"/>
      <c r="E564" s="58">
        <f>SUM(E566:E566)</f>
        <v>0.93</v>
      </c>
      <c r="G564" s="124"/>
      <c r="H564" s="291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</row>
    <row r="565" spans="1:18" ht="15" customHeight="1">
      <c r="A565" s="345" t="s">
        <v>5</v>
      </c>
      <c r="B565" s="345"/>
      <c r="C565" s="85" t="s">
        <v>17</v>
      </c>
      <c r="D565" s="278" t="s">
        <v>18</v>
      </c>
      <c r="E565" s="45" t="s">
        <v>7</v>
      </c>
      <c r="G565" s="122" t="str">
        <f>CONCATENATE("Iron scrap of bush fixings, Lying at ",C566,". Quantity in MT - ")</f>
        <v>Iron scrap of bush fixings, Lying at CS Patiala. Quantity in MT - </v>
      </c>
      <c r="H565" s="325" t="str">
        <f ca="1">CONCATENATE(G565,G566,(INDIRECT(I566)),(INDIRECT(J566)),(INDIRECT(K566)),(INDIRECT(L566)),(INDIRECT(M566)),(INDIRECT(N566)),(INDIRECT(O566)),(INDIRECT(P566)),(INDIRECT(Q566)),(INDIRECT(R566)),".")</f>
        <v>Iron scrap of bush fixings, Lying at CS Patiala. Quantity in MT - Iron scrap of Bush fixings - 0.93, .</v>
      </c>
      <c r="I565" s="129" t="str">
        <f aca="true" ca="1" t="array" ref="I565">CELL("address",INDEX(G565:G689,MATCH(TRUE,ISBLANK(G565:G689),0)))</f>
        <v>$G$567</v>
      </c>
      <c r="J565" s="129">
        <f aca="true" t="array" ref="J565">MATCH(TRUE,ISBLANK(G565:G689),0)</f>
        <v>3</v>
      </c>
      <c r="K565" s="129">
        <f>J565-3</f>
        <v>0</v>
      </c>
      <c r="L565" s="129"/>
      <c r="M565" s="129"/>
      <c r="N565" s="129"/>
      <c r="O565" s="129"/>
      <c r="P565" s="129"/>
      <c r="Q565" s="129"/>
      <c r="R565" s="129"/>
    </row>
    <row r="566" spans="1:18" ht="15" customHeight="1">
      <c r="A566" s="327" t="s">
        <v>216</v>
      </c>
      <c r="B566" s="327"/>
      <c r="C566" s="278" t="s">
        <v>53</v>
      </c>
      <c r="D566" s="215" t="s">
        <v>492</v>
      </c>
      <c r="E566" s="282">
        <v>0.93</v>
      </c>
      <c r="F566" s="1" t="s">
        <v>387</v>
      </c>
      <c r="G566" s="120" t="str">
        <f>CONCATENATE(D566," - ",E566,", ")</f>
        <v>Iron scrap of Bush fixings - 0.93, </v>
      </c>
      <c r="H566" s="325"/>
      <c r="I566" s="129" t="str">
        <f ca="1">IF(J565&gt;=3,(MID(I565,2,1)&amp;MID(I565,4,3)-K565),CELL("address",Z566))</f>
        <v>G567</v>
      </c>
      <c r="J566" s="129" t="str">
        <f ca="1">IF(J565&gt;=4,(MID(I566,1,1)&amp;MID(I566,2,3)+1),CELL("address",AA566))</f>
        <v>$AA$566</v>
      </c>
      <c r="K566" s="129" t="str">
        <f ca="1">IF(J565&gt;=5,(MID(J566,1,1)&amp;MID(J566,2,3)+1),CELL("address",AB566))</f>
        <v>$AB$566</v>
      </c>
      <c r="L566" s="129" t="str">
        <f ca="1">IF(J565&gt;=6,(MID(K566,1,1)&amp;MID(K566,2,3)+1),CELL("address",AC566))</f>
        <v>$AC$566</v>
      </c>
      <c r="M566" s="129" t="str">
        <f ca="1">IF(J565&gt;=7,(MID(L566,1,1)&amp;MID(L566,2,3)+1),CELL("address",AD566))</f>
        <v>$AD$566</v>
      </c>
      <c r="N566" s="129" t="str">
        <f ca="1">IF(J565&gt;=8,(MID(M566,1,1)&amp;MID(M566,2,3)+1),CELL("address",AE566))</f>
        <v>$AE$566</v>
      </c>
      <c r="O566" s="129" t="str">
        <f ca="1">IF(J565&gt;=9,(MID(N566,1,1)&amp;MID(N566,2,3)+1),CELL("address",AF566))</f>
        <v>$AF$566</v>
      </c>
      <c r="P566" s="129" t="str">
        <f ca="1">IF(J565&gt;=10,(MID(O566,1,1)&amp;MID(O566,2,3)+1),CELL("address",AG566))</f>
        <v>$AG$566</v>
      </c>
      <c r="Q566" s="129" t="str">
        <f ca="1">IF(J565&gt;=11,(MID(P566,1,1)&amp;MID(P566,2,3)+1),CELL("address",AH566))</f>
        <v>$AH$566</v>
      </c>
      <c r="R566" s="129" t="str">
        <f ca="1">IF(J565&gt;=12,(MID(Q566,1,1)&amp;MID(Q566,2,3)+1),CELL("address",AI566))</f>
        <v>$AI$566</v>
      </c>
    </row>
    <row r="567" spans="1:8" ht="15" customHeight="1">
      <c r="A567" s="44"/>
      <c r="B567" s="46"/>
      <c r="C567" s="53"/>
      <c r="D567" s="244"/>
      <c r="E567" s="64"/>
      <c r="G567" s="124"/>
      <c r="H567" s="216"/>
    </row>
    <row r="568" spans="1:8" ht="18.75" customHeight="1">
      <c r="A568" s="395" t="s">
        <v>311</v>
      </c>
      <c r="B568" s="396"/>
      <c r="C568" s="396"/>
      <c r="D568" s="396"/>
      <c r="E568" s="397"/>
      <c r="H568" s="131"/>
    </row>
    <row r="569" spans="1:8" ht="15" customHeight="1">
      <c r="A569" s="305" t="s">
        <v>5</v>
      </c>
      <c r="B569" s="306"/>
      <c r="C569" s="305" t="s">
        <v>6</v>
      </c>
      <c r="D569" s="306"/>
      <c r="E569" s="228" t="s">
        <v>7</v>
      </c>
      <c r="G569" s="123"/>
      <c r="H569" s="136"/>
    </row>
    <row r="570" spans="1:8" ht="15" customHeight="1">
      <c r="A570" s="303" t="s">
        <v>126</v>
      </c>
      <c r="B570" s="303"/>
      <c r="C570" s="304" t="s">
        <v>114</v>
      </c>
      <c r="D570" s="304"/>
      <c r="E570" s="89">
        <v>1.293</v>
      </c>
      <c r="G570" s="124"/>
      <c r="H570" s="122" t="str">
        <f aca="true" t="shared" si="3" ref="H570:H580">CONCATENATE("Wooden scrap (without iron parts), Lying at ",C570,". Quantity in MT - ",E570,)</f>
        <v>Wooden scrap (without iron parts), Lying at OL Fazilka. Quantity in MT - 1.293</v>
      </c>
    </row>
    <row r="571" spans="1:8" ht="15" customHeight="1">
      <c r="A571" s="303" t="s">
        <v>129</v>
      </c>
      <c r="B571" s="303"/>
      <c r="C571" s="303" t="s">
        <v>96</v>
      </c>
      <c r="D571" s="303"/>
      <c r="E571" s="89">
        <v>0.159</v>
      </c>
      <c r="H571" s="122" t="str">
        <f t="shared" si="3"/>
        <v>Wooden scrap (without iron parts), Lying at CS Malout. Quantity in MT - 0.159</v>
      </c>
    </row>
    <row r="572" spans="1:8" ht="15" customHeight="1">
      <c r="A572" s="303" t="s">
        <v>130</v>
      </c>
      <c r="B572" s="303"/>
      <c r="C572" s="304" t="s">
        <v>103</v>
      </c>
      <c r="D572" s="304"/>
      <c r="E572" s="51">
        <v>0.52</v>
      </c>
      <c r="H572" s="122" t="str">
        <f t="shared" si="3"/>
        <v>Wooden scrap (without iron parts), Lying at OL Patran. Quantity in MT - 0.52</v>
      </c>
    </row>
    <row r="573" spans="1:8" ht="15" customHeight="1">
      <c r="A573" s="327" t="s">
        <v>131</v>
      </c>
      <c r="B573" s="327"/>
      <c r="C573" s="307" t="s">
        <v>43</v>
      </c>
      <c r="D573" s="307"/>
      <c r="E573" s="231">
        <v>1.21</v>
      </c>
      <c r="F573" s="1">
        <v>0.97</v>
      </c>
      <c r="H573" s="122" t="str">
        <f t="shared" si="3"/>
        <v>Wooden scrap (without iron parts), Lying at CS Kotkapura. Quantity in MT - 1.21</v>
      </c>
    </row>
    <row r="574" spans="1:8" ht="15" customHeight="1">
      <c r="A574" s="303" t="s">
        <v>132</v>
      </c>
      <c r="B574" s="303"/>
      <c r="C574" s="303" t="s">
        <v>80</v>
      </c>
      <c r="D574" s="303"/>
      <c r="E574" s="51">
        <v>1.08</v>
      </c>
      <c r="H574" s="122" t="str">
        <f t="shared" si="3"/>
        <v>Wooden scrap (without iron parts), Lying at CS Sangrur. Quantity in MT - 1.08</v>
      </c>
    </row>
    <row r="575" spans="1:8" ht="15" customHeight="1">
      <c r="A575" s="303" t="s">
        <v>133</v>
      </c>
      <c r="B575" s="303"/>
      <c r="C575" s="304" t="s">
        <v>128</v>
      </c>
      <c r="D575" s="304"/>
      <c r="E575" s="51">
        <v>0.805</v>
      </c>
      <c r="H575" s="122" t="str">
        <f t="shared" si="3"/>
        <v>Wooden scrap (without iron parts), Lying at OL Malerkotla. Quantity in MT - 0.805</v>
      </c>
    </row>
    <row r="576" spans="1:8" ht="15" customHeight="1">
      <c r="A576" s="303" t="s">
        <v>139</v>
      </c>
      <c r="B576" s="303"/>
      <c r="C576" s="304" t="s">
        <v>101</v>
      </c>
      <c r="D576" s="304"/>
      <c r="E576" s="51">
        <v>0.112</v>
      </c>
      <c r="H576" s="122" t="str">
        <f t="shared" si="3"/>
        <v>Wooden scrap (without iron parts), Lying at OL Bhagta Bhai Ka. Quantity in MT - 0.112</v>
      </c>
    </row>
    <row r="577" spans="1:8" ht="15" customHeight="1">
      <c r="A577" s="303" t="s">
        <v>140</v>
      </c>
      <c r="B577" s="303"/>
      <c r="C577" s="304" t="s">
        <v>60</v>
      </c>
      <c r="D577" s="304"/>
      <c r="E577" s="51">
        <v>0.4</v>
      </c>
      <c r="H577" s="122" t="str">
        <f t="shared" si="3"/>
        <v>Wooden scrap (without iron parts), Lying at OL Mansa. Quantity in MT - 0.4</v>
      </c>
    </row>
    <row r="578" spans="1:8" ht="15" customHeight="1">
      <c r="A578" s="303" t="s">
        <v>141</v>
      </c>
      <c r="B578" s="303"/>
      <c r="C578" s="303" t="s">
        <v>100</v>
      </c>
      <c r="D578" s="303"/>
      <c r="E578" s="51">
        <v>4.39</v>
      </c>
      <c r="H578" s="122" t="str">
        <f t="shared" si="3"/>
        <v>Wooden scrap (without iron parts), Lying at CS Ferozepur. Quantity in MT - 4.39</v>
      </c>
    </row>
    <row r="579" spans="1:8" ht="15" customHeight="1">
      <c r="A579" s="303" t="s">
        <v>142</v>
      </c>
      <c r="B579" s="303"/>
      <c r="C579" s="304" t="s">
        <v>99</v>
      </c>
      <c r="D579" s="343"/>
      <c r="E579" s="51">
        <v>0.303</v>
      </c>
      <c r="H579" s="122" t="str">
        <f t="shared" si="3"/>
        <v>Wooden scrap (without iron parts), Lying at OL Ropar. Quantity in MT - 0.303</v>
      </c>
    </row>
    <row r="580" spans="1:8" ht="15" customHeight="1" thickBot="1">
      <c r="A580" s="327" t="s">
        <v>146</v>
      </c>
      <c r="B580" s="327"/>
      <c r="C580" s="332" t="s">
        <v>280</v>
      </c>
      <c r="D580" s="333"/>
      <c r="E580" s="231">
        <v>0.29</v>
      </c>
      <c r="F580" s="1" t="s">
        <v>387</v>
      </c>
      <c r="H580" s="122" t="str">
        <f t="shared" si="3"/>
        <v>Wooden scrap (without iron parts), Lying at OL Moga. Quantity in MT - 0.29</v>
      </c>
    </row>
    <row r="581" spans="1:8" ht="20.25" customHeight="1" thickBot="1">
      <c r="A581" s="387" t="s">
        <v>14</v>
      </c>
      <c r="B581" s="388"/>
      <c r="C581" s="242"/>
      <c r="D581" s="242"/>
      <c r="E581" s="58">
        <f>SUM(E570:E580)</f>
        <v>10.562000000000001</v>
      </c>
      <c r="H581" s="122"/>
    </row>
    <row r="582" spans="1:8" ht="15" customHeight="1">
      <c r="A582" s="22"/>
      <c r="B582" s="22"/>
      <c r="C582" s="17"/>
      <c r="D582" s="17"/>
      <c r="E582" s="16"/>
      <c r="H582" s="131"/>
    </row>
    <row r="583" spans="1:8" ht="15" customHeight="1">
      <c r="A583" s="362" t="s">
        <v>11</v>
      </c>
      <c r="B583" s="363"/>
      <c r="C583" s="363"/>
      <c r="D583" s="363"/>
      <c r="E583" s="364"/>
      <c r="H583" s="131"/>
    </row>
    <row r="584" spans="1:8" ht="15" customHeight="1">
      <c r="A584" s="18"/>
      <c r="B584" s="19"/>
      <c r="C584" s="19"/>
      <c r="D584" s="19"/>
      <c r="E584" s="20"/>
      <c r="H584" s="131"/>
    </row>
    <row r="585" spans="1:8" ht="15" customHeight="1">
      <c r="A585" s="384" t="s">
        <v>8</v>
      </c>
      <c r="B585" s="385"/>
      <c r="C585" s="385"/>
      <c r="D585" s="385"/>
      <c r="E585" s="386"/>
      <c r="H585" s="131"/>
    </row>
    <row r="586" spans="1:8" ht="15" customHeight="1">
      <c r="A586" s="45" t="s">
        <v>5</v>
      </c>
      <c r="B586" s="315" t="s">
        <v>17</v>
      </c>
      <c r="C586" s="315"/>
      <c r="D586" s="228" t="s">
        <v>18</v>
      </c>
      <c r="E586" s="45" t="s">
        <v>77</v>
      </c>
      <c r="H586" s="123"/>
    </row>
    <row r="587" spans="1:8" ht="15" customHeight="1">
      <c r="A587" s="237" t="s">
        <v>79</v>
      </c>
      <c r="B587" s="328" t="s">
        <v>110</v>
      </c>
      <c r="C587" s="328"/>
      <c r="D587" s="232" t="s">
        <v>78</v>
      </c>
      <c r="E587" s="217">
        <v>32</v>
      </c>
      <c r="F587" s="1">
        <v>26</v>
      </c>
      <c r="H587" s="122" t="str">
        <f>CONCATENATE("CT/PT Units, Lying at ",B587,". Quantity in No - ",E587,)</f>
        <v>CT/PT Units, Lying at Central Store Kotkapura. Quantity in No - 32</v>
      </c>
    </row>
    <row r="588" spans="1:8" ht="15" customHeight="1">
      <c r="A588" s="44"/>
      <c r="B588" s="95"/>
      <c r="C588" s="95"/>
      <c r="D588" s="244"/>
      <c r="E588" s="74"/>
      <c r="H588" s="131"/>
    </row>
    <row r="589" spans="1:8" ht="15" customHeight="1">
      <c r="A589" s="45" t="s">
        <v>5</v>
      </c>
      <c r="B589" s="315" t="s">
        <v>17</v>
      </c>
      <c r="C589" s="315"/>
      <c r="D589" s="228" t="s">
        <v>18</v>
      </c>
      <c r="E589" s="45" t="s">
        <v>77</v>
      </c>
      <c r="H589" s="131"/>
    </row>
    <row r="590" spans="1:8" ht="15" customHeight="1">
      <c r="A590" s="45" t="s">
        <v>123</v>
      </c>
      <c r="B590" s="328" t="s">
        <v>163</v>
      </c>
      <c r="C590" s="328"/>
      <c r="D590" s="45" t="s">
        <v>78</v>
      </c>
      <c r="E590" s="66">
        <v>21</v>
      </c>
      <c r="H590" s="122" t="str">
        <f>CONCATENATE("CT/PT Units, Lying at ",B590,". Quantity in No - ",E590,)</f>
        <v>CT/PT Units, Lying at Central Store Patiala. Quantity in No - 21</v>
      </c>
    </row>
    <row r="591" spans="1:8" ht="15" customHeight="1">
      <c r="A591" s="44"/>
      <c r="B591" s="103"/>
      <c r="C591" s="103"/>
      <c r="D591" s="46"/>
      <c r="E591" s="67"/>
      <c r="H591" s="131"/>
    </row>
    <row r="592" spans="1:8" ht="15" customHeight="1">
      <c r="A592" s="45" t="s">
        <v>5</v>
      </c>
      <c r="B592" s="315" t="s">
        <v>17</v>
      </c>
      <c r="C592" s="315"/>
      <c r="D592" s="228" t="s">
        <v>18</v>
      </c>
      <c r="E592" s="45" t="s">
        <v>77</v>
      </c>
      <c r="H592" s="131"/>
    </row>
    <row r="593" spans="1:8" ht="15" customHeight="1">
      <c r="A593" s="45" t="s">
        <v>201</v>
      </c>
      <c r="B593" s="328" t="s">
        <v>189</v>
      </c>
      <c r="C593" s="328"/>
      <c r="D593" s="45" t="s">
        <v>78</v>
      </c>
      <c r="E593" s="66">
        <v>39</v>
      </c>
      <c r="H593" s="122" t="str">
        <f>CONCATENATE("CT/PT Units, Lying at ",B593,". Quantity in No - ",E593,)</f>
        <v>CT/PT Units, Lying at Outlet store Ropar. Quantity in No - 39</v>
      </c>
    </row>
    <row r="594" spans="1:8" ht="15" customHeight="1">
      <c r="A594" s="44"/>
      <c r="B594" s="103"/>
      <c r="C594" s="103"/>
      <c r="D594" s="244"/>
      <c r="E594" s="74"/>
      <c r="H594" s="131"/>
    </row>
    <row r="595" spans="1:8" ht="15" customHeight="1">
      <c r="A595" s="45" t="s">
        <v>5</v>
      </c>
      <c r="B595" s="315" t="s">
        <v>17</v>
      </c>
      <c r="C595" s="315"/>
      <c r="D595" s="228" t="s">
        <v>18</v>
      </c>
      <c r="E595" s="45" t="s">
        <v>77</v>
      </c>
      <c r="H595" s="131"/>
    </row>
    <row r="596" spans="1:8" ht="15" customHeight="1">
      <c r="A596" s="45" t="s">
        <v>210</v>
      </c>
      <c r="B596" s="328" t="s">
        <v>213</v>
      </c>
      <c r="C596" s="328"/>
      <c r="D596" s="45" t="s">
        <v>78</v>
      </c>
      <c r="E596" s="66">
        <v>37</v>
      </c>
      <c r="H596" s="122" t="str">
        <f>CONCATENATE("CT/PT Units, Lying at ",B596,". Quantity in No - ",E596,)</f>
        <v>CT/PT Units, Lying at Central Store Sangrur. Quantity in No - 37</v>
      </c>
    </row>
    <row r="597" spans="1:8" ht="15" customHeight="1">
      <c r="A597" s="44"/>
      <c r="B597" s="103"/>
      <c r="C597" s="103"/>
      <c r="D597" s="244"/>
      <c r="E597" s="74"/>
      <c r="H597" s="123"/>
    </row>
    <row r="598" spans="1:8" ht="15" customHeight="1">
      <c r="A598" s="45" t="s">
        <v>5</v>
      </c>
      <c r="B598" s="315" t="s">
        <v>17</v>
      </c>
      <c r="C598" s="315"/>
      <c r="D598" s="228" t="s">
        <v>18</v>
      </c>
      <c r="E598" s="45" t="s">
        <v>77</v>
      </c>
      <c r="H598" s="123"/>
    </row>
    <row r="599" spans="1:8" ht="15" customHeight="1">
      <c r="A599" s="45" t="s">
        <v>289</v>
      </c>
      <c r="B599" s="328" t="s">
        <v>326</v>
      </c>
      <c r="C599" s="328"/>
      <c r="D599" s="45" t="s">
        <v>78</v>
      </c>
      <c r="E599" s="66">
        <v>32</v>
      </c>
      <c r="H599" s="122" t="str">
        <f>CONCATENATE("CT/PT Units, Lying at ",B599,". Quantity in No - ",E599,)</f>
        <v>CT/PT Units, Lying at Central Store Bathinda. Quantity in No - 32</v>
      </c>
    </row>
    <row r="600" spans="1:8" ht="15" customHeight="1">
      <c r="A600" s="44"/>
      <c r="B600" s="103"/>
      <c r="C600" s="103"/>
      <c r="D600" s="46"/>
      <c r="E600" s="67"/>
      <c r="H600" s="123"/>
    </row>
    <row r="601" spans="1:8" ht="15" customHeight="1">
      <c r="A601" s="45" t="s">
        <v>5</v>
      </c>
      <c r="B601" s="315" t="s">
        <v>17</v>
      </c>
      <c r="C601" s="315"/>
      <c r="D601" s="278" t="s">
        <v>18</v>
      </c>
      <c r="E601" s="45" t="s">
        <v>77</v>
      </c>
      <c r="H601" s="123"/>
    </row>
    <row r="602" spans="1:8" ht="15" customHeight="1">
      <c r="A602" s="279" t="s">
        <v>327</v>
      </c>
      <c r="B602" s="328" t="s">
        <v>163</v>
      </c>
      <c r="C602" s="328"/>
      <c r="D602" s="280" t="s">
        <v>490</v>
      </c>
      <c r="E602" s="217">
        <v>43</v>
      </c>
      <c r="F602" s="1" t="s">
        <v>248</v>
      </c>
      <c r="H602" s="122" t="str">
        <f>CONCATENATE("U/S CT, Lying at ",B602,". Quantity in No - ",E602,)</f>
        <v>U/S CT, Lying at Central Store Patiala. Quantity in No - 43</v>
      </c>
    </row>
    <row r="603" spans="1:8" ht="15" customHeight="1">
      <c r="A603" s="44"/>
      <c r="B603" s="103"/>
      <c r="C603" s="103"/>
      <c r="D603" s="46"/>
      <c r="E603" s="67"/>
      <c r="H603" s="123"/>
    </row>
    <row r="604" spans="1:8" ht="15" customHeight="1">
      <c r="A604" s="45" t="s">
        <v>5</v>
      </c>
      <c r="B604" s="315" t="s">
        <v>17</v>
      </c>
      <c r="C604" s="315"/>
      <c r="D604" s="228" t="s">
        <v>18</v>
      </c>
      <c r="E604" s="45" t="s">
        <v>77</v>
      </c>
      <c r="H604" s="123"/>
    </row>
    <row r="605" spans="1:8" ht="15" customHeight="1">
      <c r="A605" s="237" t="s">
        <v>396</v>
      </c>
      <c r="B605" s="328" t="s">
        <v>110</v>
      </c>
      <c r="C605" s="328"/>
      <c r="D605" s="232" t="s">
        <v>290</v>
      </c>
      <c r="E605" s="217">
        <v>168</v>
      </c>
      <c r="F605" s="1">
        <v>167</v>
      </c>
      <c r="H605" s="122" t="str">
        <f>CONCATENATE("Empty steel drums (cap 209 ltrs), Lying at ",B605,". Quantity in No - ",E605,)</f>
        <v>Empty steel drums (cap 209 ltrs), Lying at Central Store Kotkapura. Quantity in No - 168</v>
      </c>
    </row>
    <row r="606" spans="1:8" ht="15" customHeight="1">
      <c r="A606" s="44"/>
      <c r="B606" s="103"/>
      <c r="C606" s="103"/>
      <c r="D606" s="46"/>
      <c r="E606" s="67"/>
      <c r="H606" s="122"/>
    </row>
    <row r="607" spans="1:8" ht="15" customHeight="1">
      <c r="A607" s="45" t="s">
        <v>5</v>
      </c>
      <c r="B607" s="315" t="s">
        <v>17</v>
      </c>
      <c r="C607" s="315"/>
      <c r="D607" s="228" t="s">
        <v>18</v>
      </c>
      <c r="E607" s="45" t="s">
        <v>77</v>
      </c>
      <c r="H607" s="122"/>
    </row>
    <row r="608" spans="1:8" ht="15" customHeight="1">
      <c r="A608" s="45" t="s">
        <v>421</v>
      </c>
      <c r="B608" s="328" t="s">
        <v>395</v>
      </c>
      <c r="C608" s="328"/>
      <c r="D608" s="45" t="s">
        <v>290</v>
      </c>
      <c r="E608" s="66">
        <v>53</v>
      </c>
      <c r="H608" s="122" t="str">
        <f>CONCATENATE("Empty steel drums (cap 209 ltrs), Lying at ",B608,". Quantity in No - ",E608,)</f>
        <v>Empty steel drums (cap 209 ltrs), Lying at Central Store Malout. Quantity in No - 53</v>
      </c>
    </row>
    <row r="609" spans="1:8" ht="15" customHeight="1">
      <c r="A609" s="44"/>
      <c r="B609" s="103"/>
      <c r="C609" s="103"/>
      <c r="D609" s="244"/>
      <c r="E609" s="74"/>
      <c r="H609" s="123"/>
    </row>
    <row r="610" spans="1:8" ht="15" customHeight="1">
      <c r="A610" s="45" t="s">
        <v>5</v>
      </c>
      <c r="B610" s="315" t="s">
        <v>17</v>
      </c>
      <c r="C610" s="315"/>
      <c r="D610" s="228" t="s">
        <v>18</v>
      </c>
      <c r="E610" s="45" t="s">
        <v>77</v>
      </c>
      <c r="H610" s="123"/>
    </row>
    <row r="611" spans="1:8" ht="15" customHeight="1">
      <c r="A611" s="45" t="s">
        <v>491</v>
      </c>
      <c r="B611" s="328" t="s">
        <v>189</v>
      </c>
      <c r="C611" s="328"/>
      <c r="D611" s="45" t="s">
        <v>290</v>
      </c>
      <c r="E611" s="66">
        <v>13</v>
      </c>
      <c r="H611" s="122" t="str">
        <f>CONCATENATE("Empty steel drums (cap 209 ltrs), Lying at ",B611,". Quantity in No - ",E611,)</f>
        <v>Empty steel drums (cap 209 ltrs), Lying at Outlet store Ropar. Quantity in No - 13</v>
      </c>
    </row>
    <row r="612" spans="1:8" ht="15" customHeight="1">
      <c r="A612" s="44"/>
      <c r="B612" s="103"/>
      <c r="C612" s="103"/>
      <c r="D612" s="244"/>
      <c r="E612" s="74"/>
      <c r="H612" s="123"/>
    </row>
    <row r="613" spans="1:8" ht="15" customHeight="1">
      <c r="A613" s="340" t="s">
        <v>16</v>
      </c>
      <c r="B613" s="341"/>
      <c r="C613" s="341"/>
      <c r="D613" s="341"/>
      <c r="E613" s="342"/>
      <c r="H613" s="131"/>
    </row>
    <row r="614" spans="1:8" ht="15" customHeight="1">
      <c r="A614" s="23"/>
      <c r="B614" s="24"/>
      <c r="C614" s="24"/>
      <c r="D614" s="24"/>
      <c r="E614" s="25"/>
      <c r="H614" s="131"/>
    </row>
    <row r="615" spans="1:8" ht="15" customHeight="1">
      <c r="A615" s="329" t="s">
        <v>15</v>
      </c>
      <c r="B615" s="330"/>
      <c r="C615" s="330"/>
      <c r="D615" s="330"/>
      <c r="E615" s="331"/>
      <c r="H615" s="131"/>
    </row>
    <row r="616" spans="1:8" ht="15" customHeight="1">
      <c r="A616" s="238"/>
      <c r="B616" s="239"/>
      <c r="C616" s="239"/>
      <c r="D616" s="239"/>
      <c r="E616" s="240"/>
      <c r="H616" s="131"/>
    </row>
    <row r="617" spans="1:8" ht="15" customHeight="1">
      <c r="A617" s="375" t="s">
        <v>49</v>
      </c>
      <c r="B617" s="376"/>
      <c r="C617" s="376"/>
      <c r="D617" s="376"/>
      <c r="E617" s="377"/>
      <c r="H617" s="131"/>
    </row>
    <row r="618" spans="1:11" ht="38.25" customHeight="1">
      <c r="A618" s="15" t="s">
        <v>5</v>
      </c>
      <c r="B618" s="15" t="s">
        <v>1</v>
      </c>
      <c r="C618" s="15" t="s">
        <v>2</v>
      </c>
      <c r="D618" s="15" t="s">
        <v>3</v>
      </c>
      <c r="E618" s="15" t="s">
        <v>4</v>
      </c>
      <c r="G618" s="139"/>
      <c r="H618" s="138"/>
      <c r="I618" s="125"/>
      <c r="J618" s="125"/>
      <c r="K618" s="126"/>
    </row>
    <row r="619" spans="1:8" ht="25.5" customHeight="1">
      <c r="A619" s="12" t="s">
        <v>111</v>
      </c>
      <c r="B619" s="12" t="s">
        <v>89</v>
      </c>
      <c r="C619" s="12" t="s">
        <v>107</v>
      </c>
      <c r="D619" s="12" t="s">
        <v>90</v>
      </c>
      <c r="E619" s="28" t="s">
        <v>261</v>
      </c>
      <c r="G619" s="123"/>
      <c r="H619" s="134" t="str">
        <f>CONCATENATE("Condemned/obsolete Vehicles  (Without RC )--- ",B619," ",C619," ",E619," ",)</f>
        <v>Condemned/obsolete Vehicles  (Without RC )--- PB-11 AH-0925 HONDA CIVIC CAR (PETROL) 2008 …. CE/ TA &amp; I PSPCL PATIALA 96461-19587 </v>
      </c>
    </row>
    <row r="620" spans="1:8" ht="25.5" customHeight="1">
      <c r="A620" s="12" t="s">
        <v>153</v>
      </c>
      <c r="B620" s="27" t="s">
        <v>150</v>
      </c>
      <c r="C620" s="27" t="s">
        <v>151</v>
      </c>
      <c r="D620" s="27" t="s">
        <v>152</v>
      </c>
      <c r="E620" s="27" t="s">
        <v>262</v>
      </c>
      <c r="G620" s="123"/>
      <c r="H620" s="134" t="str">
        <f>CONCATENATE("Condemned/obsolete Vehicles  (Without RC )--- ",B620," ",C620," ",E620," ",)</f>
        <v>Condemned/obsolete Vehicles  (Without RC )--- PB-05 F-9520 MINI TRUCK EICHER DIESEL (1999) ….. DS S/D MAMDOT PSPCL FEROZEPUR MOB 9646114589 </v>
      </c>
    </row>
    <row r="621" spans="1:8" ht="25.5" customHeight="1">
      <c r="A621" s="12" t="s">
        <v>156</v>
      </c>
      <c r="B621" s="27" t="s">
        <v>157</v>
      </c>
      <c r="C621" s="27" t="s">
        <v>158</v>
      </c>
      <c r="D621" s="27" t="s">
        <v>159</v>
      </c>
      <c r="E621" s="27" t="s">
        <v>263</v>
      </c>
      <c r="G621" s="123"/>
      <c r="H621" s="134" t="str">
        <f>CONCATENATE("Condemned/obsolete Vehicles  (Without RC )--- ",B621," ",C621," ",E621," ",)</f>
        <v>Condemned/obsolete Vehicles  (Without RC )--- PB-03 N-5547 AMBASSADOR CAR DIESEL (2005) ….. DS DIVISION BADAL 96461-14534 </v>
      </c>
    </row>
    <row r="622" spans="1:8" ht="15" customHeight="1">
      <c r="A622" s="21"/>
      <c r="B622" s="26"/>
      <c r="C622" s="26"/>
      <c r="D622" s="21"/>
      <c r="E622" s="21"/>
      <c r="H622" s="131"/>
    </row>
    <row r="623" spans="1:8" ht="15" customHeight="1">
      <c r="A623" s="380" t="s">
        <v>50</v>
      </c>
      <c r="B623" s="381"/>
      <c r="C623" s="381"/>
      <c r="D623" s="381"/>
      <c r="E623" s="382"/>
      <c r="H623" s="131"/>
    </row>
    <row r="624" spans="1:8" ht="15" customHeight="1">
      <c r="A624" s="378" t="s">
        <v>108</v>
      </c>
      <c r="B624" s="379"/>
      <c r="C624" s="379"/>
      <c r="D624" s="379"/>
      <c r="E624" s="379"/>
      <c r="H624" s="131"/>
    </row>
    <row r="625" spans="1:8" ht="15" customHeight="1">
      <c r="A625" s="7"/>
      <c r="B625" s="8"/>
      <c r="C625" s="8"/>
      <c r="D625" s="8"/>
      <c r="E625" s="8"/>
      <c r="F625" s="169"/>
      <c r="G625" s="169"/>
      <c r="H625" s="131"/>
    </row>
    <row r="626" spans="1:8" ht="15" customHeight="1">
      <c r="A626" s="340" t="s">
        <v>25</v>
      </c>
      <c r="B626" s="341"/>
      <c r="C626" s="341"/>
      <c r="D626" s="341"/>
      <c r="E626" s="342"/>
      <c r="H626" s="131"/>
    </row>
    <row r="627" spans="1:8" ht="15" customHeight="1">
      <c r="A627" s="75"/>
      <c r="B627" s="75"/>
      <c r="C627" s="76"/>
      <c r="D627" s="76"/>
      <c r="E627" s="77">
        <f>SUM(E629:E632)</f>
        <v>4.129</v>
      </c>
      <c r="F627" s="169"/>
      <c r="H627" s="131"/>
    </row>
    <row r="628" spans="1:18" ht="15" customHeight="1">
      <c r="A628" s="308" t="s">
        <v>5</v>
      </c>
      <c r="B628" s="326"/>
      <c r="C628" s="78" t="s">
        <v>17</v>
      </c>
      <c r="D628" s="79" t="s">
        <v>18</v>
      </c>
      <c r="E628" s="78" t="s">
        <v>7</v>
      </c>
      <c r="F628" s="120"/>
      <c r="G628" s="122" t="str">
        <f>CONCATENATE("Misc. Healthy parts/ Non Ferrous  Scrap, Lying at ",C629,". Quantity in MT - ")</f>
        <v>Misc. Healthy parts/ Non Ferrous  Scrap, Lying at TRY Bathinda. Quantity in MT - </v>
      </c>
      <c r="H628" s="339" t="str">
        <f ca="1">CONCATENATE(G628,G629,(INDIRECT(I629)),(INDIRECT(J629)),(INDIRECT(K629)),(INDIRECT(L629)),(INDIRECT(M629)),(INDIRECT(N629)),(INDIRECT(O629)),(INDIRECT(P629)),(INDIRECT(Q629)),(INDIRECT(R629)),".")</f>
        <v>Misc. Healthy parts/ Non Ferrous  Scrap, Lying at TRY Bathinda. Quantity in MT - Brass scrap - 2.683, Misc. Aluminium scrap - 0.893, Burnt Cu scrap - 0.203, Nuts &amp; Bolts scrap - 0.35, .</v>
      </c>
      <c r="I628" s="129" t="str">
        <f aca="true" ca="1" t="array" ref="I628">CELL("address",INDEX(G628:G650,MATCH(TRUE,ISBLANK(G628:G650),0)))</f>
        <v>$G$633</v>
      </c>
      <c r="J628" s="129">
        <f aca="true" t="array" ref="J628">MATCH(TRUE,ISBLANK(G628:G650),0)</f>
        <v>6</v>
      </c>
      <c r="K628" s="129">
        <f>J628-3</f>
        <v>3</v>
      </c>
      <c r="L628" s="129"/>
      <c r="M628" s="129"/>
      <c r="N628" s="129"/>
      <c r="O628" s="129"/>
      <c r="P628" s="129"/>
      <c r="Q628" s="129"/>
      <c r="R628" s="129"/>
    </row>
    <row r="629" spans="1:18" ht="15" customHeight="1">
      <c r="A629" s="303" t="s">
        <v>34</v>
      </c>
      <c r="B629" s="303"/>
      <c r="C629" s="315" t="s">
        <v>36</v>
      </c>
      <c r="D629" s="45" t="s">
        <v>23</v>
      </c>
      <c r="E629" s="51">
        <v>2.683</v>
      </c>
      <c r="F629" s="120"/>
      <c r="G629" s="120" t="str">
        <f>CONCATENATE(D629," - ",E629,", ")</f>
        <v>Brass scrap - 2.683, </v>
      </c>
      <c r="H629" s="339"/>
      <c r="I629" s="129" t="str">
        <f ca="1">IF(J628&gt;=3,(MID(I628,2,1)&amp;MID(I628,4,4)-K628),CELL("address",Z629))</f>
        <v>G630</v>
      </c>
      <c r="J629" s="129" t="str">
        <f ca="1">IF(J628&gt;=4,(MID(I629,1,1)&amp;MID(I629,2,4)+1),CELL("address",AA629))</f>
        <v>G631</v>
      </c>
      <c r="K629" s="129" t="str">
        <f ca="1">IF(J628&gt;=5,(MID(J629,1,1)&amp;MID(J629,2,4)+1),CELL("address",AB629))</f>
        <v>G632</v>
      </c>
      <c r="L629" s="129" t="str">
        <f ca="1">IF(J628&gt;=6,(MID(K629,1,1)&amp;MID(K629,2,4)+1),CELL("address",AC629))</f>
        <v>G633</v>
      </c>
      <c r="M629" s="129" t="str">
        <f ca="1">IF(J628&gt;=7,(MID(L629,1,1)&amp;MID(L629,2,4)+1),CELL("address",AD629))</f>
        <v>$AD$629</v>
      </c>
      <c r="N629" s="129" t="str">
        <f ca="1">IF(J628&gt;=8,(MID(M629,1,1)&amp;MID(M629,2,4)+1),CELL("address",AE629))</f>
        <v>$AE$629</v>
      </c>
      <c r="O629" s="129" t="str">
        <f ca="1">IF(J628&gt;=9,(MID(N629,1,1)&amp;MID(N629,2,4)+1),CELL("address",AF629))</f>
        <v>$AF$629</v>
      </c>
      <c r="P629" s="129" t="str">
        <f ca="1">IF(J628&gt;=10,(MID(O629,1,1)&amp;MID(O629,2,4)+1),CELL("address",AG629))</f>
        <v>$AG$629</v>
      </c>
      <c r="Q629" s="129" t="str">
        <f ca="1">IF(J628&gt;=11,(MID(P629,1,1)&amp;MID(P629,2,4)+1),CELL("address",AH629))</f>
        <v>$AH$629</v>
      </c>
      <c r="R629" s="129" t="str">
        <f ca="1">IF(J628&gt;=12,(MID(Q629,1,1)&amp;MID(Q629,2,4)+1),CELL("address",AI629))</f>
        <v>$AI$629</v>
      </c>
    </row>
    <row r="630" spans="1:8" ht="15" customHeight="1">
      <c r="A630" s="303"/>
      <c r="B630" s="303"/>
      <c r="C630" s="315"/>
      <c r="D630" s="45" t="s">
        <v>24</v>
      </c>
      <c r="E630" s="51">
        <v>0.893</v>
      </c>
      <c r="F630" s="120"/>
      <c r="G630" s="120" t="str">
        <f>CONCATENATE(D630," - ",E630,", ")</f>
        <v>Misc. Aluminium scrap - 0.893, </v>
      </c>
      <c r="H630" s="133"/>
    </row>
    <row r="631" spans="1:8" ht="15" customHeight="1">
      <c r="A631" s="303"/>
      <c r="B631" s="303"/>
      <c r="C631" s="315"/>
      <c r="D631" s="45" t="s">
        <v>37</v>
      </c>
      <c r="E631" s="51">
        <v>0.203</v>
      </c>
      <c r="F631" s="120"/>
      <c r="G631" s="120" t="str">
        <f>CONCATENATE(D631," - ",E631,", ")</f>
        <v>Burnt Cu scrap - 0.203, </v>
      </c>
      <c r="H631" s="133"/>
    </row>
    <row r="632" spans="1:23" ht="15" customHeight="1">
      <c r="A632" s="303"/>
      <c r="B632" s="303"/>
      <c r="C632" s="315"/>
      <c r="D632" s="45" t="s">
        <v>59</v>
      </c>
      <c r="E632" s="51">
        <v>0.35</v>
      </c>
      <c r="F632" s="120"/>
      <c r="G632" s="120" t="str">
        <f>CONCATENATE(D632," - ",E632,", ")</f>
        <v>Nuts &amp; Bolts scrap - 0.35, </v>
      </c>
      <c r="H632" s="133"/>
      <c r="T632" s="389"/>
      <c r="U632" s="389"/>
      <c r="V632" s="389"/>
      <c r="W632" s="389"/>
    </row>
    <row r="633" spans="1:8" ht="15" customHeight="1">
      <c r="A633" s="308"/>
      <c r="B633" s="326"/>
      <c r="C633" s="228"/>
      <c r="D633" s="45"/>
      <c r="E633" s="51"/>
      <c r="F633" s="120"/>
      <c r="G633" s="120"/>
      <c r="H633" s="133"/>
    </row>
    <row r="634" spans="1:8" ht="17.25" customHeight="1">
      <c r="A634" s="313"/>
      <c r="B634" s="314"/>
      <c r="C634" s="81"/>
      <c r="D634" s="81"/>
      <c r="E634" s="82">
        <f>SUM(E636:E641)</f>
        <v>11.541</v>
      </c>
      <c r="F634" s="120"/>
      <c r="G634" s="120"/>
      <c r="H634" s="133"/>
    </row>
    <row r="635" spans="1:18" ht="17.25" customHeight="1">
      <c r="A635" s="316" t="s">
        <v>5</v>
      </c>
      <c r="B635" s="317"/>
      <c r="C635" s="78" t="s">
        <v>17</v>
      </c>
      <c r="D635" s="79" t="s">
        <v>18</v>
      </c>
      <c r="E635" s="78" t="s">
        <v>7</v>
      </c>
      <c r="F635" s="120"/>
      <c r="G635" s="122" t="str">
        <f>CONCATENATE("Misc. Healthy parts/ Non Ferrous  Scrap, Lying at ",C636,". Quantity in MT - ")</f>
        <v>Misc. Healthy parts/ Non Ferrous  Scrap, Lying at TRY Ferozepur. Quantity in MT - </v>
      </c>
      <c r="H635" s="339" t="str">
        <f ca="1">CONCATENATE(G635,G636,(INDIRECT(I636)),(INDIRECT(J636)),(INDIRECT(K636)),(INDIRECT(L636)),(INDIRECT(M636)),(INDIRECT(N636)),(INDIRECT(O636)),(INDIRECT(P636)),(INDIRECT(Q636)),(INDIRECT(R636)),".")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635" s="129" t="str">
        <f aca="true" ca="1" t="array" ref="I635">CELL("address",INDEX(G635:G657,MATCH(TRUE,ISBLANK(G635:G657),0)))</f>
        <v>$G$642</v>
      </c>
      <c r="J635" s="129">
        <f aca="true" t="array" ref="J635">MATCH(TRUE,ISBLANK(G635:G657),0)</f>
        <v>8</v>
      </c>
      <c r="K635" s="129">
        <f>J635-3</f>
        <v>5</v>
      </c>
      <c r="L635" s="129"/>
      <c r="M635" s="129"/>
      <c r="N635" s="129"/>
      <c r="O635" s="129"/>
      <c r="P635" s="129"/>
      <c r="Q635" s="129"/>
      <c r="R635" s="129"/>
    </row>
    <row r="636" spans="1:18" ht="17.25" customHeight="1">
      <c r="A636" s="303" t="s">
        <v>112</v>
      </c>
      <c r="B636" s="303"/>
      <c r="C636" s="315" t="s">
        <v>42</v>
      </c>
      <c r="D636" s="45" t="s">
        <v>23</v>
      </c>
      <c r="E636" s="51">
        <v>5.187</v>
      </c>
      <c r="F636" s="120"/>
      <c r="G636" s="120" t="str">
        <f aca="true" t="shared" si="4" ref="G636:G641">CONCATENATE(D636," - ",E636,", ")</f>
        <v>Brass scrap - 5.187, </v>
      </c>
      <c r="H636" s="339"/>
      <c r="I636" s="129" t="str">
        <f ca="1">IF(J635&gt;=3,(MID(I635,2,1)&amp;MID(I635,4,4)-K635),CELL("address",Z636))</f>
        <v>G637</v>
      </c>
      <c r="J636" s="129" t="str">
        <f ca="1">IF(J635&gt;=4,(MID(I636,1,1)&amp;MID(I636,2,4)+1),CELL("address",AA636))</f>
        <v>G638</v>
      </c>
      <c r="K636" s="129" t="str">
        <f ca="1">IF(J635&gt;=5,(MID(J636,1,1)&amp;MID(J636,2,4)+1),CELL("address",AB636))</f>
        <v>G639</v>
      </c>
      <c r="L636" s="129" t="str">
        <f ca="1">IF(J635&gt;=6,(MID(K636,1,1)&amp;MID(K636,2,4)+1),CELL("address",AC636))</f>
        <v>G640</v>
      </c>
      <c r="M636" s="129" t="str">
        <f ca="1">IF(J635&gt;=7,(MID(L636,1,1)&amp;MID(L636,2,4)+1),CELL("address",AD636))</f>
        <v>G641</v>
      </c>
      <c r="N636" s="129" t="str">
        <f ca="1">IF(J635&gt;=8,(MID(M636,1,1)&amp;MID(M636,2,4)+1),CELL("address",AE636))</f>
        <v>G642</v>
      </c>
      <c r="O636" s="129" t="str">
        <f ca="1">IF(J635&gt;=9,(MID(N636,1,1)&amp;MID(N636,2,4)+1),CELL("address",AF636))</f>
        <v>$AF$636</v>
      </c>
      <c r="P636" s="129" t="str">
        <f ca="1">IF(J635&gt;=10,(MID(O636,1,1)&amp;MID(O636,2,4)+1),CELL("address",AG636))</f>
        <v>$AG$636</v>
      </c>
      <c r="Q636" s="129" t="str">
        <f ca="1">IF(J635&gt;=11,(MID(P636,1,1)&amp;MID(P636,2,4)+1),CELL("address",AH636))</f>
        <v>$AH$636</v>
      </c>
      <c r="R636" s="129" t="str">
        <f ca="1">IF(J635&gt;=12,(MID(Q636,1,1)&amp;MID(Q636,2,4)+1),CELL("address",AI636))</f>
        <v>$AI$636</v>
      </c>
    </row>
    <row r="637" spans="1:8" ht="17.25" customHeight="1">
      <c r="A637" s="303"/>
      <c r="B637" s="303"/>
      <c r="C637" s="315"/>
      <c r="D637" s="45" t="s">
        <v>24</v>
      </c>
      <c r="E637" s="51">
        <v>0.926</v>
      </c>
      <c r="F637" s="120"/>
      <c r="G637" s="120" t="str">
        <f t="shared" si="4"/>
        <v>Misc. Aluminium scrap - 0.926, </v>
      </c>
      <c r="H637" s="133"/>
    </row>
    <row r="638" spans="1:8" ht="17.25" customHeight="1">
      <c r="A638" s="303"/>
      <c r="B638" s="303"/>
      <c r="C638" s="315"/>
      <c r="D638" s="45" t="s">
        <v>27</v>
      </c>
      <c r="E638" s="78">
        <v>0.651</v>
      </c>
      <c r="F638" s="120"/>
      <c r="G638" s="120" t="str">
        <f t="shared" si="4"/>
        <v>Iron scrap - 0.651, </v>
      </c>
      <c r="H638" s="133"/>
    </row>
    <row r="639" spans="1:8" ht="17.25" customHeight="1">
      <c r="A639" s="303"/>
      <c r="B639" s="303"/>
      <c r="C639" s="315"/>
      <c r="D639" s="45" t="s">
        <v>37</v>
      </c>
      <c r="E639" s="78">
        <v>0.235</v>
      </c>
      <c r="F639" s="120"/>
      <c r="G639" s="120" t="str">
        <f t="shared" si="4"/>
        <v>Burnt Cu scrap - 0.235, </v>
      </c>
      <c r="H639" s="133"/>
    </row>
    <row r="640" spans="1:8" ht="15" customHeight="1">
      <c r="A640" s="303"/>
      <c r="B640" s="303"/>
      <c r="C640" s="315"/>
      <c r="D640" s="45" t="s">
        <v>59</v>
      </c>
      <c r="E640" s="78">
        <v>4.092</v>
      </c>
      <c r="F640" s="120"/>
      <c r="G640" s="120" t="str">
        <f t="shared" si="4"/>
        <v>Nuts &amp; Bolts scrap - 4.092, </v>
      </c>
      <c r="H640" s="133"/>
    </row>
    <row r="641" spans="1:8" ht="15" customHeight="1">
      <c r="A641" s="303"/>
      <c r="B641" s="303"/>
      <c r="C641" s="315"/>
      <c r="D641" s="45" t="s">
        <v>65</v>
      </c>
      <c r="E641" s="80">
        <v>0.45</v>
      </c>
      <c r="F641" s="120"/>
      <c r="G641" s="120" t="str">
        <f t="shared" si="4"/>
        <v>Teen Patra scrap - 0.45, </v>
      </c>
      <c r="H641" s="133"/>
    </row>
    <row r="642" spans="1:8" ht="15" customHeight="1">
      <c r="A642" s="44"/>
      <c r="B642" s="47"/>
      <c r="C642" s="228"/>
      <c r="D642" s="45"/>
      <c r="E642" s="80"/>
      <c r="F642" s="120"/>
      <c r="G642" s="120"/>
      <c r="H642" s="133"/>
    </row>
    <row r="643" spans="1:8" ht="15" customHeight="1">
      <c r="A643" s="313"/>
      <c r="B643" s="314"/>
      <c r="C643" s="81"/>
      <c r="D643" s="81"/>
      <c r="E643" s="82">
        <f>SUM(E645:E649)</f>
        <v>3.672</v>
      </c>
      <c r="F643" s="120"/>
      <c r="G643" s="120"/>
      <c r="H643" s="133"/>
    </row>
    <row r="644" spans="1:18" ht="15" customHeight="1">
      <c r="A644" s="303" t="s">
        <v>5</v>
      </c>
      <c r="B644" s="303"/>
      <c r="C644" s="78" t="s">
        <v>17</v>
      </c>
      <c r="D644" s="79" t="s">
        <v>18</v>
      </c>
      <c r="E644" s="78" t="s">
        <v>7</v>
      </c>
      <c r="F644" s="120"/>
      <c r="G644" s="122" t="str">
        <f>CONCATENATE("Misc. Healthy parts/ Non Ferrous  Scrap, Lying at ",C645,". Quantity in MT - ")</f>
        <v>Misc. Healthy parts/ Non Ferrous  Scrap, Lying at OL store Ropar. Quantity in MT - </v>
      </c>
      <c r="H644" s="339" t="str">
        <f ca="1">CONCATENATE(G644,G645,(INDIRECT(I645)),(INDIRECT(J645)),(INDIRECT(K645)),(INDIRECT(L645)),(INDIRECT(M645)),(INDIRECT(N645)),(INDIRECT(O645)),(INDIRECT(P645)),(INDIRECT(Q645)),(INDIRECT(R645)),".")</f>
        <v>Misc. Healthy parts/ Non Ferrous  Scrap, Lying at OL store Ropar. Quantity in MT - Brass scrap - 2.473, Misc. Aluminium scrap - 0.346, Burnt Cu scrap - 0.298, All Alumn. Conductor Scrap - 0.317, Misc. Copper scrap - 0.238, .</v>
      </c>
      <c r="I644" s="129" t="str">
        <f aca="true" ca="1" t="array" ref="I644">CELL("address",INDEX(G644:G666,MATCH(TRUE,ISBLANK(G644:G666),0)))</f>
        <v>$G$650</v>
      </c>
      <c r="J644" s="129">
        <f aca="true" t="array" ref="J644">MATCH(TRUE,ISBLANK(G644:G666),0)</f>
        <v>7</v>
      </c>
      <c r="K644" s="129">
        <f>J644-3</f>
        <v>4</v>
      </c>
      <c r="L644" s="129"/>
      <c r="M644" s="129"/>
      <c r="N644" s="129"/>
      <c r="O644" s="129"/>
      <c r="P644" s="129"/>
      <c r="Q644" s="129"/>
      <c r="R644" s="129"/>
    </row>
    <row r="645" spans="1:18" ht="15" customHeight="1">
      <c r="A645" s="316" t="s">
        <v>26</v>
      </c>
      <c r="B645" s="317"/>
      <c r="C645" s="322" t="s">
        <v>46</v>
      </c>
      <c r="D645" s="45" t="s">
        <v>23</v>
      </c>
      <c r="E645" s="51">
        <v>2.473</v>
      </c>
      <c r="F645" s="120"/>
      <c r="G645" s="120" t="str">
        <f>CONCATENATE(D645," - ",E645,", ")</f>
        <v>Brass scrap - 2.473, </v>
      </c>
      <c r="H645" s="339"/>
      <c r="I645" s="129" t="str">
        <f ca="1">IF(J644&gt;=3,(MID(I644,2,1)&amp;MID(I644,4,4)-K644),CELL("address",Z645))</f>
        <v>G646</v>
      </c>
      <c r="J645" s="129" t="str">
        <f ca="1">IF(J644&gt;=4,(MID(I645,1,1)&amp;MID(I645,2,4)+1),CELL("address",AA645))</f>
        <v>G647</v>
      </c>
      <c r="K645" s="129" t="str">
        <f ca="1">IF(J644&gt;=5,(MID(J645,1,1)&amp;MID(J645,2,4)+1),CELL("address",AB645))</f>
        <v>G648</v>
      </c>
      <c r="L645" s="129" t="str">
        <f ca="1">IF(J644&gt;=6,(MID(K645,1,1)&amp;MID(K645,2,4)+1),CELL("address",AC645))</f>
        <v>G649</v>
      </c>
      <c r="M645" s="129" t="str">
        <f ca="1">IF(J644&gt;=7,(MID(L645,1,1)&amp;MID(L645,2,4)+1),CELL("address",AD645))</f>
        <v>G650</v>
      </c>
      <c r="N645" s="129" t="str">
        <f ca="1">IF(J644&gt;=8,(MID(M645,1,1)&amp;MID(M645,2,4)+1),CELL("address",AE645))</f>
        <v>$AE$645</v>
      </c>
      <c r="O645" s="129" t="str">
        <f ca="1">IF(J644&gt;=9,(MID(N645,1,1)&amp;MID(N645,2,4)+1),CELL("address",AF645))</f>
        <v>$AF$645</v>
      </c>
      <c r="P645" s="129" t="str">
        <f ca="1">IF(J644&gt;=10,(MID(O645,1,1)&amp;MID(O645,2,4)+1),CELL("address",AG645))</f>
        <v>$AG$645</v>
      </c>
      <c r="Q645" s="129" t="str">
        <f ca="1">IF(J644&gt;=11,(MID(P645,1,1)&amp;MID(P645,2,4)+1),CELL("address",AH645))</f>
        <v>$AH$645</v>
      </c>
      <c r="R645" s="129" t="str">
        <f ca="1">IF(J644&gt;=12,(MID(Q645,1,1)&amp;MID(Q645,2,4)+1),CELL("address",AI645))</f>
        <v>$AI$645</v>
      </c>
    </row>
    <row r="646" spans="1:8" ht="15" customHeight="1">
      <c r="A646" s="318"/>
      <c r="B646" s="319"/>
      <c r="C646" s="323"/>
      <c r="D646" s="45" t="s">
        <v>24</v>
      </c>
      <c r="E646" s="51">
        <v>0.346</v>
      </c>
      <c r="F646" s="120"/>
      <c r="G646" s="120" t="str">
        <f>CONCATENATE(D646," - ",E646,", ")</f>
        <v>Misc. Aluminium scrap - 0.346, </v>
      </c>
      <c r="H646" s="133"/>
    </row>
    <row r="647" spans="1:8" ht="15" customHeight="1">
      <c r="A647" s="318"/>
      <c r="B647" s="319"/>
      <c r="C647" s="323"/>
      <c r="D647" s="44" t="s">
        <v>37</v>
      </c>
      <c r="E647" s="51">
        <v>0.298</v>
      </c>
      <c r="F647" s="120"/>
      <c r="G647" s="120" t="str">
        <f>CONCATENATE(D647," - ",E647,", ")</f>
        <v>Burnt Cu scrap - 0.298, </v>
      </c>
      <c r="H647" s="133"/>
    </row>
    <row r="648" spans="1:8" ht="15" customHeight="1">
      <c r="A648" s="318"/>
      <c r="B648" s="319"/>
      <c r="C648" s="323"/>
      <c r="D648" s="50" t="s">
        <v>32</v>
      </c>
      <c r="E648" s="51">
        <v>0.317</v>
      </c>
      <c r="F648" s="120"/>
      <c r="G648" s="120" t="str">
        <f>CONCATENATE(D648," - ",E648,", ")</f>
        <v>All Alumn. Conductor Scrap - 0.317, </v>
      </c>
      <c r="H648" s="133"/>
    </row>
    <row r="649" spans="1:8" ht="15" customHeight="1">
      <c r="A649" s="320"/>
      <c r="B649" s="321"/>
      <c r="C649" s="324"/>
      <c r="D649" s="45" t="s">
        <v>45</v>
      </c>
      <c r="E649" s="51">
        <v>0.238</v>
      </c>
      <c r="F649" s="120"/>
      <c r="G649" s="120" t="str">
        <f>CONCATENATE(D649," - ",E649,", ")</f>
        <v>Misc. Copper scrap - 0.238, </v>
      </c>
      <c r="H649" s="133"/>
    </row>
    <row r="650" spans="1:8" ht="15" customHeight="1">
      <c r="A650" s="55"/>
      <c r="B650" s="71"/>
      <c r="C650" s="235"/>
      <c r="D650" s="45"/>
      <c r="E650" s="51"/>
      <c r="F650" s="120"/>
      <c r="G650" s="120"/>
      <c r="H650" s="133"/>
    </row>
    <row r="651" spans="1:8" ht="15" customHeight="1">
      <c r="A651" s="313"/>
      <c r="B651" s="314"/>
      <c r="C651" s="81"/>
      <c r="D651" s="81"/>
      <c r="E651" s="82">
        <f>SUM(E653:E654)</f>
        <v>2.408</v>
      </c>
      <c r="F651" s="120"/>
      <c r="G651" s="120"/>
      <c r="H651" s="133"/>
    </row>
    <row r="652" spans="1:18" ht="15" customHeight="1">
      <c r="A652" s="303" t="s">
        <v>5</v>
      </c>
      <c r="B652" s="303"/>
      <c r="C652" s="78" t="s">
        <v>17</v>
      </c>
      <c r="D652" s="79" t="s">
        <v>18</v>
      </c>
      <c r="E652" s="78" t="s">
        <v>7</v>
      </c>
      <c r="F652" s="120"/>
      <c r="G652" s="122" t="str">
        <f>CONCATENATE("Misc. Healthy parts/ Non Ferrous  Scrap, Lying at ",C653,". Quantity in MT - ")</f>
        <v>Misc. Healthy parts/ Non Ferrous  Scrap, Lying at TRY Ferozepur. Quantity in MT - </v>
      </c>
      <c r="H652" s="339" t="str">
        <f ca="1">CONCATENATE(G652,G653,(INDIRECT(I653)),(INDIRECT(J653)),(INDIRECT(K653)),(INDIRECT(L653)),(INDIRECT(M653)),(INDIRECT(N653)),(INDIRECT(O653)),(INDIRECT(P653)),(INDIRECT(Q653)),(INDIRECT(R653)),".")</f>
        <v>Misc. Healthy parts/ Non Ferrous  Scrap, Lying at TRY Ferozepur. Quantity in MT - Brass scrap - 2.09, Misc. Alumn. Scrap - 0.318, .</v>
      </c>
      <c r="I652" s="129" t="str">
        <f aca="true" ca="1" t="array" ref="I652">CELL("address",INDEX(G652:G674,MATCH(TRUE,ISBLANK(G652:G674),0)))</f>
        <v>$G$655</v>
      </c>
      <c r="J652" s="129">
        <f aca="true" t="array" ref="J652">MATCH(TRUE,ISBLANK(G652:G674),0)</f>
        <v>4</v>
      </c>
      <c r="K652" s="129">
        <f>J652-3</f>
        <v>1</v>
      </c>
      <c r="L652" s="129"/>
      <c r="M652" s="129"/>
      <c r="N652" s="129"/>
      <c r="O652" s="129"/>
      <c r="P652" s="129"/>
      <c r="Q652" s="129"/>
      <c r="R652" s="129"/>
    </row>
    <row r="653" spans="1:18" ht="15" customHeight="1">
      <c r="A653" s="303" t="s">
        <v>38</v>
      </c>
      <c r="B653" s="303"/>
      <c r="C653" s="315" t="s">
        <v>42</v>
      </c>
      <c r="D653" s="50" t="s">
        <v>23</v>
      </c>
      <c r="E653" s="52">
        <v>2.09</v>
      </c>
      <c r="F653" s="120"/>
      <c r="G653" s="120" t="str">
        <f>CONCATENATE(D653," - ",E653,", ")</f>
        <v>Brass scrap - 2.09, </v>
      </c>
      <c r="H653" s="339"/>
      <c r="I653" s="129" t="str">
        <f ca="1">IF(J652&gt;=3,(MID(I652,2,1)&amp;MID(I652,4,4)-K652),CELL("address",Z653))</f>
        <v>G654</v>
      </c>
      <c r="J653" s="129" t="str">
        <f ca="1">IF(J652&gt;=4,(MID(I653,1,1)&amp;MID(I653,2,4)+1),CELL("address",AA653))</f>
        <v>G655</v>
      </c>
      <c r="K653" s="129" t="str">
        <f ca="1">IF(J652&gt;=5,(MID(J653,1,1)&amp;MID(J653,2,4)+1),CELL("address",AB653))</f>
        <v>$AB$653</v>
      </c>
      <c r="L653" s="129" t="str">
        <f ca="1">IF(J652&gt;=6,(MID(K653,1,1)&amp;MID(K653,2,4)+1),CELL("address",AC653))</f>
        <v>$AC$653</v>
      </c>
      <c r="M653" s="129" t="str">
        <f ca="1">IF(J652&gt;=7,(MID(L653,1,1)&amp;MID(L653,2,4)+1),CELL("address",AD653))</f>
        <v>$AD$653</v>
      </c>
      <c r="N653" s="129" t="str">
        <f ca="1">IF(J652&gt;=8,(MID(M653,1,1)&amp;MID(M653,2,4)+1),CELL("address",AE653))</f>
        <v>$AE$653</v>
      </c>
      <c r="O653" s="129" t="str">
        <f ca="1">IF(J652&gt;=9,(MID(N653,1,1)&amp;MID(N653,2,4)+1),CELL("address",AF653))</f>
        <v>$AF$653</v>
      </c>
      <c r="P653" s="129" t="str">
        <f ca="1">IF(J652&gt;=10,(MID(O653,1,1)&amp;MID(O653,2,4)+1),CELL("address",AG653))</f>
        <v>$AG$653</v>
      </c>
      <c r="Q653" s="129" t="str">
        <f ca="1">IF(J652&gt;=11,(MID(P653,1,1)&amp;MID(P653,2,4)+1),CELL("address",AH653))</f>
        <v>$AH$653</v>
      </c>
      <c r="R653" s="129" t="str">
        <f ca="1">IF(J652&gt;=12,(MID(Q653,1,1)&amp;MID(Q653,2,4)+1),CELL("address",AI653))</f>
        <v>$AI$653</v>
      </c>
    </row>
    <row r="654" spans="1:8" ht="15" customHeight="1">
      <c r="A654" s="303"/>
      <c r="B654" s="303"/>
      <c r="C654" s="315"/>
      <c r="D654" s="50" t="s">
        <v>31</v>
      </c>
      <c r="E654" s="52">
        <v>0.318</v>
      </c>
      <c r="F654" s="120"/>
      <c r="G654" s="120" t="str">
        <f>CONCATENATE(D654," - ",E654,", ")</f>
        <v>Misc. Alumn. Scrap - 0.318, </v>
      </c>
      <c r="H654" s="133"/>
    </row>
    <row r="655" spans="1:8" ht="15" customHeight="1">
      <c r="A655" s="308"/>
      <c r="B655" s="326"/>
      <c r="C655" s="228"/>
      <c r="D655" s="50"/>
      <c r="E655" s="52"/>
      <c r="F655" s="120"/>
      <c r="G655" s="120"/>
      <c r="H655" s="133"/>
    </row>
    <row r="656" spans="1:8" ht="15" customHeight="1">
      <c r="A656" s="313"/>
      <c r="B656" s="314"/>
      <c r="C656" s="81"/>
      <c r="D656" s="81"/>
      <c r="E656" s="82">
        <f>SUM(E658:E661)</f>
        <v>4.728999999999999</v>
      </c>
      <c r="F656" s="120"/>
      <c r="G656" s="120"/>
      <c r="H656" s="133"/>
    </row>
    <row r="657" spans="1:18" ht="15" customHeight="1">
      <c r="A657" s="308" t="s">
        <v>5</v>
      </c>
      <c r="B657" s="326"/>
      <c r="C657" s="78" t="s">
        <v>17</v>
      </c>
      <c r="D657" s="79" t="s">
        <v>18</v>
      </c>
      <c r="E657" s="78" t="s">
        <v>7</v>
      </c>
      <c r="F657" s="120"/>
      <c r="G657" s="122" t="str">
        <f>CONCATENATE("Misc. Healthy parts/ Non Ferrous  Scrap, Lying at ",C658,". Quantity in MT - ")</f>
        <v>Misc. Healthy parts/ Non Ferrous  Scrap, Lying at TRY Malerkotla. Quantity in MT - </v>
      </c>
      <c r="H657" s="339" t="str">
        <f ca="1">CONCATENATE(G657,G658,(INDIRECT(I658)),(INDIRECT(J658)),(INDIRECT(K658)),(INDIRECT(L658)),(INDIRECT(M658)),(INDIRECT(N658)),(INDIRECT(O658)),(INDIRECT(P658)),(INDIRECT(Q658)),(INDIRECT(R658)),".")</f>
        <v>Misc. Healthy parts/ Non Ferrous  Scrap, Lying at TRY Malerkotla. Quantity in MT - Brass scrap - 4.114, Misc. Aluminium scrap - 0.183, Burnt Aluminium scrap - 0.287, Burnt Cu scrap - 0.145, .</v>
      </c>
      <c r="I657" s="129" t="str">
        <f aca="true" ca="1" t="array" ref="I657">CELL("address",INDEX(G657:G679,MATCH(TRUE,ISBLANK(G657:G679),0)))</f>
        <v>$G$662</v>
      </c>
      <c r="J657" s="129">
        <f aca="true" t="array" ref="J657">MATCH(TRUE,ISBLANK(G657:G679),0)</f>
        <v>6</v>
      </c>
      <c r="K657" s="129">
        <f>J657-3</f>
        <v>3</v>
      </c>
      <c r="L657" s="129"/>
      <c r="M657" s="129"/>
      <c r="N657" s="129"/>
      <c r="O657" s="129"/>
      <c r="P657" s="129"/>
      <c r="Q657" s="129"/>
      <c r="R657" s="129"/>
    </row>
    <row r="658" spans="1:18" ht="15" customHeight="1">
      <c r="A658" s="303" t="s">
        <v>48</v>
      </c>
      <c r="B658" s="303"/>
      <c r="C658" s="315" t="s">
        <v>28</v>
      </c>
      <c r="D658" s="45" t="s">
        <v>23</v>
      </c>
      <c r="E658" s="51">
        <v>4.114</v>
      </c>
      <c r="F658" s="120"/>
      <c r="G658" s="120" t="str">
        <f>CONCATENATE(D658," - ",E658,", ")</f>
        <v>Brass scrap - 4.114, </v>
      </c>
      <c r="H658" s="339"/>
      <c r="I658" s="129" t="str">
        <f ca="1">IF(J657&gt;=3,(MID(I657,2,1)&amp;MID(I657,4,4)-K657),CELL("address",Z658))</f>
        <v>G659</v>
      </c>
      <c r="J658" s="129" t="str">
        <f ca="1">IF(J657&gt;=4,(MID(I658,1,1)&amp;MID(I658,2,4)+1),CELL("address",AA658))</f>
        <v>G660</v>
      </c>
      <c r="K658" s="129" t="str">
        <f ca="1">IF(J657&gt;=5,(MID(J658,1,1)&amp;MID(J658,2,4)+1),CELL("address",AB658))</f>
        <v>G661</v>
      </c>
      <c r="L658" s="129" t="str">
        <f ca="1">IF(J657&gt;=6,(MID(K658,1,1)&amp;MID(K658,2,4)+1),CELL("address",AC658))</f>
        <v>G662</v>
      </c>
      <c r="M658" s="129" t="str">
        <f ca="1">IF(J657&gt;=7,(MID(L658,1,1)&amp;MID(L658,2,4)+1),CELL("address",AD658))</f>
        <v>$AD$658</v>
      </c>
      <c r="N658" s="129" t="str">
        <f ca="1">IF(J657&gt;=8,(MID(M658,1,1)&amp;MID(M658,2,4)+1),CELL("address",AE658))</f>
        <v>$AE$658</v>
      </c>
      <c r="O658" s="129" t="str">
        <f ca="1">IF(J657&gt;=9,(MID(N658,1,1)&amp;MID(N658,2,4)+1),CELL("address",AF658))</f>
        <v>$AF$658</v>
      </c>
      <c r="P658" s="129" t="str">
        <f ca="1">IF(J657&gt;=10,(MID(O658,1,1)&amp;MID(O658,2,4)+1),CELL("address",AG658))</f>
        <v>$AG$658</v>
      </c>
      <c r="Q658" s="129" t="str">
        <f ca="1">IF(J657&gt;=11,(MID(P658,1,1)&amp;MID(P658,2,4)+1),CELL("address",AH658))</f>
        <v>$AH$658</v>
      </c>
      <c r="R658" s="129" t="str">
        <f ca="1">IF(J657&gt;=12,(MID(Q658,1,1)&amp;MID(Q658,2,4)+1),CELL("address",AI658))</f>
        <v>$AI$658</v>
      </c>
    </row>
    <row r="659" spans="1:8" ht="18" customHeight="1">
      <c r="A659" s="303"/>
      <c r="B659" s="303"/>
      <c r="C659" s="315"/>
      <c r="D659" s="45" t="s">
        <v>24</v>
      </c>
      <c r="E659" s="51">
        <v>0.183</v>
      </c>
      <c r="F659" s="120"/>
      <c r="G659" s="120" t="str">
        <f>CONCATENATE(D659," - ",E659,", ")</f>
        <v>Misc. Aluminium scrap - 0.183, </v>
      </c>
      <c r="H659" s="133"/>
    </row>
    <row r="660" spans="1:8" ht="19.5" customHeight="1">
      <c r="A660" s="303"/>
      <c r="B660" s="303"/>
      <c r="C660" s="315"/>
      <c r="D660" s="45" t="s">
        <v>41</v>
      </c>
      <c r="E660" s="51">
        <v>0.287</v>
      </c>
      <c r="F660" s="120"/>
      <c r="G660" s="120" t="str">
        <f>CONCATENATE(D660," - ",E660,", ")</f>
        <v>Burnt Aluminium scrap - 0.287, </v>
      </c>
      <c r="H660" s="133"/>
    </row>
    <row r="661" spans="1:8" ht="15" customHeight="1">
      <c r="A661" s="303"/>
      <c r="B661" s="303"/>
      <c r="C661" s="315"/>
      <c r="D661" s="45" t="s">
        <v>37</v>
      </c>
      <c r="E661" s="78">
        <v>0.145</v>
      </c>
      <c r="F661" s="120"/>
      <c r="G661" s="120" t="str">
        <f>CONCATENATE(D661," - ",E661,", ")</f>
        <v>Burnt Cu scrap - 0.145, </v>
      </c>
      <c r="H661" s="133"/>
    </row>
    <row r="662" spans="1:8" ht="15" customHeight="1">
      <c r="A662" s="44"/>
      <c r="B662" s="47"/>
      <c r="C662" s="228"/>
      <c r="D662" s="45"/>
      <c r="E662" s="78"/>
      <c r="F662" s="120"/>
      <c r="G662" s="120"/>
      <c r="H662" s="133"/>
    </row>
    <row r="663" spans="1:8" ht="15" customHeight="1">
      <c r="A663" s="313"/>
      <c r="B663" s="314"/>
      <c r="C663" s="81"/>
      <c r="D663" s="81"/>
      <c r="E663" s="82">
        <f>SUM(E665:E668)</f>
        <v>0.418</v>
      </c>
      <c r="F663" s="120"/>
      <c r="G663" s="120"/>
      <c r="H663" s="133"/>
    </row>
    <row r="664" spans="1:18" ht="15" customHeight="1">
      <c r="A664" s="303" t="s">
        <v>5</v>
      </c>
      <c r="B664" s="303"/>
      <c r="C664" s="78" t="s">
        <v>17</v>
      </c>
      <c r="D664" s="79" t="s">
        <v>18</v>
      </c>
      <c r="E664" s="78" t="s">
        <v>7</v>
      </c>
      <c r="F664" s="120"/>
      <c r="G664" s="122" t="str">
        <f>CONCATENATE("Misc. Healthy parts/ Non Ferrous  Scrap, Lying at ",C665,". Quantity in MT - ")</f>
        <v>Misc. Healthy parts/ Non Ferrous  Scrap, Lying at CS Mohali. Quantity in MT - </v>
      </c>
      <c r="H664" s="339" t="str">
        <f ca="1">CONCATENATE(G664,G665,(INDIRECT(I665)),(INDIRECT(J665)),(INDIRECT(K665)),(INDIRECT(L665)),(INDIRECT(M665)),(INDIRECT(N665)),(INDIRECT(O665)),(INDIRECT(P665)),(INDIRECT(Q665)),(INDIRECT(R665)),".")</f>
        <v>Misc. Healthy parts/ Non Ferrous  Scrap, Lying at CS Mohali. Quantity in MT - Misc. Copper scrap - 0.313, Burnt Cu scrap - 0.041, All Alumn. Conductor Scrap - 0.054, Brass scrap - 0.01, .</v>
      </c>
      <c r="I664" s="129" t="str">
        <f aca="true" ca="1" t="array" ref="I664">CELL("address",INDEX(G664:G686,MATCH(TRUE,ISBLANK(G664:G686),0)))</f>
        <v>$G$669</v>
      </c>
      <c r="J664" s="129">
        <f aca="true" t="array" ref="J664">MATCH(TRUE,ISBLANK(G664:G686),0)</f>
        <v>6</v>
      </c>
      <c r="K664" s="129">
        <f>J664-3</f>
        <v>3</v>
      </c>
      <c r="L664" s="129"/>
      <c r="M664" s="129"/>
      <c r="N664" s="129"/>
      <c r="O664" s="129"/>
      <c r="P664" s="129"/>
      <c r="Q664" s="129"/>
      <c r="R664" s="129"/>
    </row>
    <row r="665" spans="1:18" ht="15" customHeight="1">
      <c r="A665" s="303" t="s">
        <v>39</v>
      </c>
      <c r="B665" s="303"/>
      <c r="C665" s="315" t="s">
        <v>63</v>
      </c>
      <c r="D665" s="45" t="s">
        <v>45</v>
      </c>
      <c r="E665" s="51">
        <v>0.313</v>
      </c>
      <c r="F665" s="120"/>
      <c r="G665" s="120" t="str">
        <f>CONCATENATE(D665," - ",E665,", ")</f>
        <v>Misc. Copper scrap - 0.313, </v>
      </c>
      <c r="H665" s="339"/>
      <c r="I665" s="129" t="str">
        <f ca="1">IF(J664&gt;=3,(MID(I664,2,1)&amp;MID(I664,4,4)-K664),CELL("address",Z665))</f>
        <v>G666</v>
      </c>
      <c r="J665" s="129" t="str">
        <f ca="1">IF(J664&gt;=4,(MID(I665,1,1)&amp;MID(I665,2,4)+1),CELL("address",AA665))</f>
        <v>G667</v>
      </c>
      <c r="K665" s="129" t="str">
        <f ca="1">IF(J664&gt;=5,(MID(J665,1,1)&amp;MID(J665,2,4)+1),CELL("address",AB665))</f>
        <v>G668</v>
      </c>
      <c r="L665" s="129" t="str">
        <f ca="1">IF(J664&gt;=6,(MID(K665,1,1)&amp;MID(K665,2,4)+1),CELL("address",AC665))</f>
        <v>G669</v>
      </c>
      <c r="M665" s="129" t="str">
        <f ca="1">IF(J664&gt;=7,(MID(L665,1,1)&amp;MID(L665,2,4)+1),CELL("address",AD665))</f>
        <v>$AD$665</v>
      </c>
      <c r="N665" s="129" t="str">
        <f ca="1">IF(J664&gt;=8,(MID(M665,1,1)&amp;MID(M665,2,4)+1),CELL("address",AE665))</f>
        <v>$AE$665</v>
      </c>
      <c r="O665" s="129" t="str">
        <f ca="1">IF(J664&gt;=9,(MID(N665,1,1)&amp;MID(N665,2,4)+1),CELL("address",AF665))</f>
        <v>$AF$665</v>
      </c>
      <c r="P665" s="129" t="str">
        <f ca="1">IF(J664&gt;=10,(MID(O665,1,1)&amp;MID(O665,2,4)+1),CELL("address",AG665))</f>
        <v>$AG$665</v>
      </c>
      <c r="Q665" s="129" t="str">
        <f ca="1">IF(J664&gt;=11,(MID(P665,1,1)&amp;MID(P665,2,4)+1),CELL("address",AH665))</f>
        <v>$AH$665</v>
      </c>
      <c r="R665" s="129" t="str">
        <f ca="1">IF(J664&gt;=12,(MID(Q665,1,1)&amp;MID(Q665,2,4)+1),CELL("address",AI665))</f>
        <v>$AI$665</v>
      </c>
    </row>
    <row r="666" spans="1:8" ht="15" customHeight="1">
      <c r="A666" s="303"/>
      <c r="B666" s="303"/>
      <c r="C666" s="315"/>
      <c r="D666" s="44" t="s">
        <v>37</v>
      </c>
      <c r="E666" s="51">
        <v>0.041</v>
      </c>
      <c r="F666" s="120"/>
      <c r="G666" s="120" t="str">
        <f>CONCATENATE(D666," - ",E666,", ")</f>
        <v>Burnt Cu scrap - 0.041, </v>
      </c>
      <c r="H666" s="133"/>
    </row>
    <row r="667" spans="1:8" ht="15" customHeight="1">
      <c r="A667" s="303"/>
      <c r="B667" s="303"/>
      <c r="C667" s="315"/>
      <c r="D667" s="50" t="s">
        <v>32</v>
      </c>
      <c r="E667" s="51">
        <v>0.054</v>
      </c>
      <c r="F667" s="120"/>
      <c r="G667" s="120" t="str">
        <f>CONCATENATE(D667," - ",E667,", ")</f>
        <v>All Alumn. Conductor Scrap - 0.054, </v>
      </c>
      <c r="H667" s="133"/>
    </row>
    <row r="668" spans="1:8" ht="15" customHeight="1">
      <c r="A668" s="303"/>
      <c r="B668" s="303"/>
      <c r="C668" s="315"/>
      <c r="D668" s="45" t="s">
        <v>23</v>
      </c>
      <c r="E668" s="51">
        <v>0.01</v>
      </c>
      <c r="F668" s="120"/>
      <c r="G668" s="120" t="str">
        <f>CONCATENATE(D668," - ",E668,", ")</f>
        <v>Brass scrap - 0.01, </v>
      </c>
      <c r="H668" s="133"/>
    </row>
    <row r="669" spans="1:8" ht="15" customHeight="1">
      <c r="A669" s="44"/>
      <c r="B669" s="47"/>
      <c r="C669" s="228"/>
      <c r="D669" s="45"/>
      <c r="E669" s="51"/>
      <c r="F669" s="120"/>
      <c r="G669" s="120"/>
      <c r="H669" s="133"/>
    </row>
    <row r="670" spans="1:8" ht="15" customHeight="1">
      <c r="A670" s="308"/>
      <c r="B670" s="326"/>
      <c r="C670" s="228"/>
      <c r="D670" s="45"/>
      <c r="E670" s="82">
        <f>E672</f>
        <v>0.089</v>
      </c>
      <c r="F670" s="120"/>
      <c r="G670" s="120"/>
      <c r="H670" s="133"/>
    </row>
    <row r="671" spans="1:18" ht="15" customHeight="1">
      <c r="A671" s="303" t="s">
        <v>5</v>
      </c>
      <c r="B671" s="303"/>
      <c r="C671" s="78" t="s">
        <v>17</v>
      </c>
      <c r="D671" s="79" t="s">
        <v>18</v>
      </c>
      <c r="E671" s="78" t="s">
        <v>7</v>
      </c>
      <c r="F671" s="120"/>
      <c r="G671" s="122" t="str">
        <f>CONCATENATE("Misc. Healthy parts/ Non Ferrous  Scrap, Lying at ",C672,". Quantity in MT - ")</f>
        <v>Misc. Healthy parts/ Non Ferrous  Scrap, Lying at OL store Nabha. Quantity in MT - </v>
      </c>
      <c r="H671" s="339" t="str">
        <f ca="1">CONCATENATE(G671,G672,(INDIRECT(I672)),(INDIRECT(J672)),(INDIRECT(K672)),(INDIRECT(L672)),(INDIRECT(M672)),(INDIRECT(N672)),(INDIRECT(O672)),(INDIRECT(P672)),(INDIRECT(Q672)),(INDIRECT(R672)),".")</f>
        <v>Misc. Healthy parts/ Non Ferrous  Scrap, Lying at OL store Nabha. Quantity in MT - Misc. Copper scrap - 0.089, .</v>
      </c>
      <c r="I671" s="129" t="str">
        <f aca="true" ca="1" t="array" ref="I671">CELL("address",INDEX(G671:G696,MATCH(TRUE,ISBLANK(G671:G696),0)))</f>
        <v>$G$673</v>
      </c>
      <c r="J671" s="129">
        <f aca="true" t="array" ref="J671">MATCH(TRUE,ISBLANK(G671:G696),0)</f>
        <v>3</v>
      </c>
      <c r="K671" s="129">
        <f>J671-3</f>
        <v>0</v>
      </c>
      <c r="L671" s="129"/>
      <c r="M671" s="129"/>
      <c r="N671" s="129"/>
      <c r="O671" s="129"/>
      <c r="P671" s="129"/>
      <c r="Q671" s="129"/>
      <c r="R671" s="129"/>
    </row>
    <row r="672" spans="1:18" ht="15" customHeight="1">
      <c r="A672" s="303" t="s">
        <v>40</v>
      </c>
      <c r="B672" s="303"/>
      <c r="C672" s="228" t="s">
        <v>104</v>
      </c>
      <c r="D672" s="45" t="s">
        <v>45</v>
      </c>
      <c r="E672" s="51">
        <v>0.089</v>
      </c>
      <c r="F672" s="120"/>
      <c r="G672" s="120" t="str">
        <f>CONCATENATE(D672," - ",E672,", ")</f>
        <v>Misc. Copper scrap - 0.089, </v>
      </c>
      <c r="H672" s="339"/>
      <c r="I672" s="129" t="str">
        <f ca="1">IF(J671&gt;=3,(MID(I671,2,1)&amp;MID(I671,4,4)-K671),CELL("address",Z672))</f>
        <v>G673</v>
      </c>
      <c r="J672" s="129" t="str">
        <f ca="1">IF(J671&gt;=4,(MID(I672,1,1)&amp;MID(I672,2,4)+1),CELL("address",AA672))</f>
        <v>$AA$672</v>
      </c>
      <c r="K672" s="129" t="str">
        <f ca="1">IF(J671&gt;=5,(MID(J672,1,1)&amp;MID(J672,2,4)+1),CELL("address",AB672))</f>
        <v>$AB$672</v>
      </c>
      <c r="L672" s="129" t="str">
        <f ca="1">IF(J671&gt;=6,(MID(K672,1,1)&amp;MID(K672,2,4)+1),CELL("address",AC672))</f>
        <v>$AC$672</v>
      </c>
      <c r="M672" s="129" t="str">
        <f ca="1">IF(J671&gt;=7,(MID(L672,1,1)&amp;MID(L672,2,4)+1),CELL("address",AD672))</f>
        <v>$AD$672</v>
      </c>
      <c r="N672" s="129" t="str">
        <f ca="1">IF(J671&gt;=8,(MID(M672,1,1)&amp;MID(M672,2,4)+1),CELL("address",AE672))</f>
        <v>$AE$672</v>
      </c>
      <c r="O672" s="129" t="str">
        <f ca="1">IF(J671&gt;=9,(MID(N672,1,1)&amp;MID(N672,2,4)+1),CELL("address",AF672))</f>
        <v>$AF$672</v>
      </c>
      <c r="P672" s="129" t="str">
        <f ca="1">IF(J671&gt;=10,(MID(O672,1,1)&amp;MID(O672,2,4)+1),CELL("address",AG672))</f>
        <v>$AG$672</v>
      </c>
      <c r="Q672" s="129" t="str">
        <f ca="1">IF(J671&gt;=11,(MID(P672,1,1)&amp;MID(P672,2,4)+1),CELL("address",AH672))</f>
        <v>$AH$672</v>
      </c>
      <c r="R672" s="129" t="str">
        <f ca="1">IF(J671&gt;=12,(MID(Q672,1,1)&amp;MID(Q672,2,4)+1),CELL("address",AI672))</f>
        <v>$AI$672</v>
      </c>
    </row>
    <row r="673" spans="1:8" ht="15" customHeight="1">
      <c r="A673" s="44"/>
      <c r="B673" s="47"/>
      <c r="C673" s="228"/>
      <c r="D673" s="45"/>
      <c r="E673" s="51"/>
      <c r="F673" s="120"/>
      <c r="G673" s="120"/>
      <c r="H673" s="133"/>
    </row>
    <row r="674" spans="1:8" ht="15" customHeight="1">
      <c r="A674" s="308"/>
      <c r="B674" s="326"/>
      <c r="C674" s="228"/>
      <c r="D674" s="45"/>
      <c r="E674" s="82">
        <f>E676</f>
        <v>0.092</v>
      </c>
      <c r="F674" s="120"/>
      <c r="G674" s="120"/>
      <c r="H674" s="133"/>
    </row>
    <row r="675" spans="1:18" ht="15" customHeight="1">
      <c r="A675" s="303" t="s">
        <v>5</v>
      </c>
      <c r="B675" s="303"/>
      <c r="C675" s="78" t="s">
        <v>17</v>
      </c>
      <c r="D675" s="79" t="s">
        <v>18</v>
      </c>
      <c r="E675" s="78" t="s">
        <v>7</v>
      </c>
      <c r="F675" s="120"/>
      <c r="G675" s="122" t="str">
        <f>CONCATENATE("Misc. Healthy parts/ Non Ferrous  Scrap, Lying at ",C676,". Quantity in MT - ")</f>
        <v>Misc. Healthy parts/ Non Ferrous  Scrap, Lying at OL store Patran. Quantity in MT - </v>
      </c>
      <c r="H675" s="339" t="str">
        <f ca="1">CONCATENATE(G675,G676,(INDIRECT(I676)),(INDIRECT(J676)),(INDIRECT(K676)),(INDIRECT(L676)),(INDIRECT(M676)),(INDIRECT(N676)),(INDIRECT(O676)),(INDIRECT(P676)),(INDIRECT(Q676)),(INDIRECT(R676)),".")</f>
        <v>Misc. Healthy parts/ Non Ferrous  Scrap, Lying at OL store Patran. Quantity in MT - Misc. Copper scrap - 0.092, .</v>
      </c>
      <c r="I675" s="129" t="str">
        <f aca="true" ca="1" t="array" ref="I675">CELL("address",INDEX(G675:G700,MATCH(TRUE,ISBLANK(G675:G700),0)))</f>
        <v>$G$677</v>
      </c>
      <c r="J675" s="129">
        <f aca="true" t="array" ref="J675">MATCH(TRUE,ISBLANK(G675:G700),0)</f>
        <v>3</v>
      </c>
      <c r="K675" s="129">
        <f>J675-3</f>
        <v>0</v>
      </c>
      <c r="L675" s="129"/>
      <c r="M675" s="129"/>
      <c r="N675" s="129"/>
      <c r="O675" s="129"/>
      <c r="P675" s="129"/>
      <c r="Q675" s="129"/>
      <c r="R675" s="129"/>
    </row>
    <row r="676" spans="1:18" ht="15" customHeight="1">
      <c r="A676" s="303" t="s">
        <v>81</v>
      </c>
      <c r="B676" s="303"/>
      <c r="C676" s="228" t="s">
        <v>102</v>
      </c>
      <c r="D676" s="45" t="s">
        <v>45</v>
      </c>
      <c r="E676" s="51">
        <v>0.092</v>
      </c>
      <c r="F676" s="120"/>
      <c r="G676" s="120" t="str">
        <f>CONCATENATE(D676," - ",E676,", ")</f>
        <v>Misc. Copper scrap - 0.092, </v>
      </c>
      <c r="H676" s="339"/>
      <c r="I676" s="129" t="str">
        <f ca="1">IF(J675&gt;=3,(MID(I675,2,1)&amp;MID(I675,4,4)-K675),CELL("address",Z676))</f>
        <v>G677</v>
      </c>
      <c r="J676" s="129" t="str">
        <f ca="1">IF(J675&gt;=4,(MID(I676,1,1)&amp;MID(I676,2,4)+1),CELL("address",AA676))</f>
        <v>$AA$676</v>
      </c>
      <c r="K676" s="129" t="str">
        <f ca="1">IF(J675&gt;=5,(MID(J676,1,1)&amp;MID(J676,2,4)+1),CELL("address",AB676))</f>
        <v>$AB$676</v>
      </c>
      <c r="L676" s="129" t="str">
        <f ca="1">IF(J675&gt;=6,(MID(K676,1,1)&amp;MID(K676,2,4)+1),CELL("address",AC676))</f>
        <v>$AC$676</v>
      </c>
      <c r="M676" s="129" t="str">
        <f ca="1">IF(J675&gt;=7,(MID(L676,1,1)&amp;MID(L676,2,4)+1),CELL("address",AD676))</f>
        <v>$AD$676</v>
      </c>
      <c r="N676" s="129" t="str">
        <f ca="1">IF(J675&gt;=8,(MID(M676,1,1)&amp;MID(M676,2,4)+1),CELL("address",AE676))</f>
        <v>$AE$676</v>
      </c>
      <c r="O676" s="129" t="str">
        <f ca="1">IF(J675&gt;=9,(MID(N676,1,1)&amp;MID(N676,2,4)+1),CELL("address",AF676))</f>
        <v>$AF$676</v>
      </c>
      <c r="P676" s="129" t="str">
        <f ca="1">IF(J675&gt;=10,(MID(O676,1,1)&amp;MID(O676,2,4)+1),CELL("address",AG676))</f>
        <v>$AG$676</v>
      </c>
      <c r="Q676" s="129" t="str">
        <f ca="1">IF(J675&gt;=11,(MID(P676,1,1)&amp;MID(P676,2,4)+1),CELL("address",AH676))</f>
        <v>$AH$676</v>
      </c>
      <c r="R676" s="129" t="str">
        <f ca="1">IF(J675&gt;=12,(MID(Q676,1,1)&amp;MID(Q676,2,4)+1),CELL("address",AI676))</f>
        <v>$AI$676</v>
      </c>
    </row>
    <row r="677" spans="1:8" ht="15" customHeight="1">
      <c r="A677" s="55"/>
      <c r="B677" s="71"/>
      <c r="C677" s="235"/>
      <c r="D677" s="45"/>
      <c r="E677" s="51"/>
      <c r="F677" s="120"/>
      <c r="G677" s="120"/>
      <c r="H677" s="133"/>
    </row>
    <row r="678" spans="1:8" ht="15" customHeight="1">
      <c r="A678" s="55"/>
      <c r="B678" s="71"/>
      <c r="C678" s="235"/>
      <c r="D678" s="50"/>
      <c r="E678" s="82">
        <f>SUM(E680:E682)</f>
        <v>0.341</v>
      </c>
      <c r="F678" s="120"/>
      <c r="G678" s="120"/>
      <c r="H678" s="133"/>
    </row>
    <row r="679" spans="1:18" ht="15" customHeight="1">
      <c r="A679" s="303" t="s">
        <v>5</v>
      </c>
      <c r="B679" s="303"/>
      <c r="C679" s="78" t="s">
        <v>17</v>
      </c>
      <c r="D679" s="79" t="s">
        <v>18</v>
      </c>
      <c r="E679" s="78" t="s">
        <v>7</v>
      </c>
      <c r="F679" s="120"/>
      <c r="G679" s="122" t="str">
        <f>CONCATENATE("Misc. Healthy parts/ Non Ferrous  Scrap, Lying at ",C680,". Quantity in MT - ")</f>
        <v>Misc. Healthy parts/ Non Ferrous  Scrap, Lying at CS Patiala. Quantity in MT - </v>
      </c>
      <c r="H679" s="339" t="str">
        <f ca="1">CONCATENATE(G679,G680,(INDIRECT(I680)),(INDIRECT(J680)),(INDIRECT(K680)),(INDIRECT(L680)),(INDIRECT(M680)),(INDIRECT(N680)),(INDIRECT(O680)),(INDIRECT(P680)),(INDIRECT(Q680)),(INDIRECT(R680)),".")</f>
        <v>Misc. Healthy parts/ Non Ferrous  Scrap, Lying at CS Patiala. Quantity in MT - Misc. Alumn. Scrap - 0.101, Misc. copper scrap - 0.218, Burnt copper scrap - 0.022, .</v>
      </c>
      <c r="I679" s="129" t="str">
        <f aca="true" ca="1" t="array" ref="I679">CELL("address",INDEX(G679:G704,MATCH(TRUE,ISBLANK(G679:G704),0)))</f>
        <v>$G$683</v>
      </c>
      <c r="J679" s="129">
        <f aca="true" t="array" ref="J679">MATCH(TRUE,ISBLANK(G679:G704),0)</f>
        <v>5</v>
      </c>
      <c r="K679" s="129">
        <f>J679-3</f>
        <v>2</v>
      </c>
      <c r="L679" s="129"/>
      <c r="M679" s="129"/>
      <c r="N679" s="129"/>
      <c r="O679" s="129"/>
      <c r="P679" s="129"/>
      <c r="Q679" s="129"/>
      <c r="R679" s="129"/>
    </row>
    <row r="680" spans="1:18" ht="15" customHeight="1">
      <c r="A680" s="316" t="s">
        <v>52</v>
      </c>
      <c r="B680" s="317"/>
      <c r="C680" s="322" t="s">
        <v>53</v>
      </c>
      <c r="D680" s="73" t="s">
        <v>31</v>
      </c>
      <c r="E680" s="52">
        <v>0.101</v>
      </c>
      <c r="F680" s="120"/>
      <c r="G680" s="120" t="str">
        <f>CONCATENATE(D680," - ",E680,", ")</f>
        <v>Misc. Alumn. Scrap - 0.101, </v>
      </c>
      <c r="H680" s="339"/>
      <c r="I680" s="129" t="str">
        <f ca="1">IF(J679&gt;=3,(MID(I679,2,1)&amp;MID(I679,4,4)-K679),CELL("address",Z680))</f>
        <v>G681</v>
      </c>
      <c r="J680" s="129" t="str">
        <f ca="1">IF(J679&gt;=4,(MID(I680,1,1)&amp;MID(I680,2,4)+1),CELL("address",AA680))</f>
        <v>G682</v>
      </c>
      <c r="K680" s="129" t="str">
        <f ca="1">IF(J679&gt;=5,(MID(J680,1,1)&amp;MID(J680,2,4)+1),CELL("address",AB680))</f>
        <v>G683</v>
      </c>
      <c r="L680" s="129" t="str">
        <f ca="1">IF(J679&gt;=6,(MID(K680,1,1)&amp;MID(K680,2,4)+1),CELL("address",AC680))</f>
        <v>$AC$680</v>
      </c>
      <c r="M680" s="129" t="str">
        <f ca="1">IF(J679&gt;=7,(MID(L680,1,1)&amp;MID(L680,2,4)+1),CELL("address",AD680))</f>
        <v>$AD$680</v>
      </c>
      <c r="N680" s="129" t="str">
        <f ca="1">IF(J679&gt;=8,(MID(M680,1,1)&amp;MID(M680,2,4)+1),CELL("address",AE680))</f>
        <v>$AE$680</v>
      </c>
      <c r="O680" s="129" t="str">
        <f ca="1">IF(J679&gt;=9,(MID(N680,1,1)&amp;MID(N680,2,4)+1),CELL("address",AF680))</f>
        <v>$AF$680</v>
      </c>
      <c r="P680" s="129" t="str">
        <f ca="1">IF(J679&gt;=10,(MID(O680,1,1)&amp;MID(O680,2,4)+1),CELL("address",AG680))</f>
        <v>$AG$680</v>
      </c>
      <c r="Q680" s="129" t="str">
        <f ca="1">IF(J679&gt;=11,(MID(P680,1,1)&amp;MID(P680,2,4)+1),CELL("address",AH680))</f>
        <v>$AH$680</v>
      </c>
      <c r="R680" s="129" t="str">
        <f ca="1">IF(J679&gt;=12,(MID(Q680,1,1)&amp;MID(Q680,2,4)+1),CELL("address",AI680))</f>
        <v>$AI$680</v>
      </c>
    </row>
    <row r="681" spans="1:8" ht="15" customHeight="1">
      <c r="A681" s="318"/>
      <c r="B681" s="319"/>
      <c r="C681" s="323"/>
      <c r="D681" s="73" t="s">
        <v>113</v>
      </c>
      <c r="E681" s="78">
        <v>0.218</v>
      </c>
      <c r="F681" s="120"/>
      <c r="G681" s="120" t="str">
        <f>CONCATENATE(D681," - ",E681,", ")</f>
        <v>Misc. copper scrap - 0.218, </v>
      </c>
      <c r="H681" s="133"/>
    </row>
    <row r="682" spans="1:8" ht="15" customHeight="1">
      <c r="A682" s="320"/>
      <c r="B682" s="321"/>
      <c r="C682" s="324"/>
      <c r="D682" s="73" t="s">
        <v>47</v>
      </c>
      <c r="E682" s="78">
        <v>0.022</v>
      </c>
      <c r="F682" s="120"/>
      <c r="G682" s="120" t="str">
        <f>CONCATENATE(D682," - ",E682,", ")</f>
        <v>Burnt copper scrap - 0.022, </v>
      </c>
      <c r="H682" s="133"/>
    </row>
    <row r="683" spans="1:8" ht="15" customHeight="1">
      <c r="A683" s="308"/>
      <c r="B683" s="326"/>
      <c r="C683" s="228"/>
      <c r="D683" s="73"/>
      <c r="E683" s="78"/>
      <c r="F683" s="120"/>
      <c r="G683" s="120"/>
      <c r="H683" s="133"/>
    </row>
    <row r="684" spans="1:8" ht="15" customHeight="1">
      <c r="A684" s="313"/>
      <c r="B684" s="314"/>
      <c r="C684" s="81"/>
      <c r="D684" s="81"/>
      <c r="E684" s="82">
        <f>SUM(E686:E693)</f>
        <v>4.915000000000001</v>
      </c>
      <c r="F684" s="120"/>
      <c r="G684" s="120"/>
      <c r="H684" s="133"/>
    </row>
    <row r="685" spans="1:18" ht="15" customHeight="1">
      <c r="A685" s="316" t="s">
        <v>5</v>
      </c>
      <c r="B685" s="317"/>
      <c r="C685" s="78" t="s">
        <v>17</v>
      </c>
      <c r="D685" s="79" t="s">
        <v>18</v>
      </c>
      <c r="E685" s="83" t="s">
        <v>7</v>
      </c>
      <c r="F685" s="120"/>
      <c r="G685" s="122" t="str">
        <f>CONCATENATE("Misc. Healthy parts/ Non Ferrous  Scrap, Lying at ",C686,". Quantity in MT - ")</f>
        <v>Misc. Healthy parts/ Non Ferrous  Scrap, Lying at CS Kotkapura. Quantity in MT - </v>
      </c>
      <c r="H685" s="339" t="str">
        <f ca="1">CONCATENATE(G685,G686,(INDIRECT(I686)),(INDIRECT(J686)),(INDIRECT(K686)),(INDIRECT(L686)),(INDIRECT(M686)),(INDIRECT(N686)),(INDIRECT(O686)),(INDIRECT(P686)),(INDIRECT(Q686)),(INDIRECT(R686)),".")</f>
        <v>Misc. Healthy parts/ Non Ferrous  Scrap, Lying at CS Kotkapura. Quantity in MT - Brass scrap - 4.046, Misc. Copper scrap - 0.065, Burnt Cu scrap - 0.325, Misc. Aluminium scrap - 0.205, Burnt Aluminium scrap - 0.055, All Alum scrap - 0.09, Alu scrap of damaged T/F accessories - 0.096, Copper scrap - 0.033, .</v>
      </c>
      <c r="I685" s="129" t="str">
        <f aca="true" ca="1" t="array" ref="I685">CELL("address",INDEX(G685:G710,MATCH(TRUE,ISBLANK(G685:G710),0)))</f>
        <v>$G$694</v>
      </c>
      <c r="J685" s="129">
        <f aca="true" t="array" ref="J685">MATCH(TRUE,ISBLANK(G685:G710),0)</f>
        <v>10</v>
      </c>
      <c r="K685" s="129">
        <f>J685-3</f>
        <v>7</v>
      </c>
      <c r="L685" s="129"/>
      <c r="M685" s="129"/>
      <c r="N685" s="129"/>
      <c r="O685" s="129"/>
      <c r="P685" s="129"/>
      <c r="Q685" s="129"/>
      <c r="R685" s="129"/>
    </row>
    <row r="686" spans="1:18" ht="15" customHeight="1">
      <c r="A686" s="327" t="s">
        <v>44</v>
      </c>
      <c r="B686" s="327"/>
      <c r="C686" s="315" t="s">
        <v>43</v>
      </c>
      <c r="D686" s="45" t="s">
        <v>23</v>
      </c>
      <c r="E686" s="84">
        <v>4.046</v>
      </c>
      <c r="F686" s="120"/>
      <c r="G686" s="120" t="str">
        <f aca="true" t="shared" si="5" ref="G686:G693">CONCATENATE(D686," - ",E686,", ")</f>
        <v>Brass scrap - 4.046, </v>
      </c>
      <c r="H686" s="339"/>
      <c r="I686" s="129" t="str">
        <f ca="1">IF(J685&gt;=3,(MID(I685,2,1)&amp;MID(I685,4,4)-K685),CELL("address",Z686))</f>
        <v>G687</v>
      </c>
      <c r="J686" s="129" t="str">
        <f ca="1">IF(J685&gt;=4,(MID(I686,1,1)&amp;MID(I686,2,4)+1),CELL("address",AA686))</f>
        <v>G688</v>
      </c>
      <c r="K686" s="129" t="str">
        <f ca="1">IF(J685&gt;=5,(MID(J686,1,1)&amp;MID(J686,2,4)+1),CELL("address",AB686))</f>
        <v>G689</v>
      </c>
      <c r="L686" s="129" t="str">
        <f ca="1">IF(J685&gt;=6,(MID(K686,1,1)&amp;MID(K686,2,4)+1),CELL("address",AC686))</f>
        <v>G690</v>
      </c>
      <c r="M686" s="129" t="str">
        <f ca="1">IF(J685&gt;=7,(MID(L686,1,1)&amp;MID(L686,2,4)+1),CELL("address",AD686))</f>
        <v>G691</v>
      </c>
      <c r="N686" s="129" t="str">
        <f ca="1">IF(J685&gt;=8,(MID(M686,1,1)&amp;MID(M686,2,4)+1),CELL("address",AE686))</f>
        <v>G692</v>
      </c>
      <c r="O686" s="129" t="str">
        <f ca="1">IF(J685&gt;=9,(MID(N686,1,1)&amp;MID(N686,2,4)+1),CELL("address",AF686))</f>
        <v>G693</v>
      </c>
      <c r="P686" s="129" t="str">
        <f ca="1">IF(J685&gt;=10,(MID(O686,1,1)&amp;MID(O686,2,4)+1),CELL("address",AG686))</f>
        <v>G694</v>
      </c>
      <c r="Q686" s="129" t="str">
        <f ca="1">IF(J685&gt;=11,(MID(P686,1,1)&amp;MID(P686,2,4)+1),CELL("address",AH686))</f>
        <v>$AH$686</v>
      </c>
      <c r="R686" s="129" t="str">
        <f ca="1">IF(J685&gt;=12,(MID(Q686,1,1)&amp;MID(Q686,2,4)+1),CELL("address",AI686))</f>
        <v>$AI$686</v>
      </c>
    </row>
    <row r="687" spans="1:8" ht="15" customHeight="1">
      <c r="A687" s="327"/>
      <c r="B687" s="327"/>
      <c r="C687" s="315"/>
      <c r="D687" s="45" t="s">
        <v>45</v>
      </c>
      <c r="E687" s="84">
        <v>0.065</v>
      </c>
      <c r="F687" s="120"/>
      <c r="G687" s="120" t="str">
        <f t="shared" si="5"/>
        <v>Misc. Copper scrap - 0.065, </v>
      </c>
      <c r="H687" s="133"/>
    </row>
    <row r="688" spans="1:8" ht="15" customHeight="1">
      <c r="A688" s="327"/>
      <c r="B688" s="327"/>
      <c r="C688" s="315"/>
      <c r="D688" s="44" t="s">
        <v>37</v>
      </c>
      <c r="E688" s="84">
        <v>0.325</v>
      </c>
      <c r="F688" s="120"/>
      <c r="G688" s="120" t="str">
        <f t="shared" si="5"/>
        <v>Burnt Cu scrap - 0.325, </v>
      </c>
      <c r="H688" s="133"/>
    </row>
    <row r="689" spans="1:8" ht="15" customHeight="1">
      <c r="A689" s="327"/>
      <c r="B689" s="327"/>
      <c r="C689" s="315"/>
      <c r="D689" s="45" t="s">
        <v>24</v>
      </c>
      <c r="E689" s="84">
        <v>0.205</v>
      </c>
      <c r="F689" s="120"/>
      <c r="G689" s="120" t="str">
        <f t="shared" si="5"/>
        <v>Misc. Aluminium scrap - 0.205, </v>
      </c>
      <c r="H689" s="133"/>
    </row>
    <row r="690" spans="1:8" ht="15" customHeight="1">
      <c r="A690" s="327"/>
      <c r="B690" s="327"/>
      <c r="C690" s="315"/>
      <c r="D690" s="44" t="s">
        <v>41</v>
      </c>
      <c r="E690" s="84">
        <v>0.055</v>
      </c>
      <c r="F690" s="120"/>
      <c r="G690" s="120" t="str">
        <f t="shared" si="5"/>
        <v>Burnt Aluminium scrap - 0.055, </v>
      </c>
      <c r="H690" s="133"/>
    </row>
    <row r="691" spans="1:8" ht="15" customHeight="1">
      <c r="A691" s="327"/>
      <c r="B691" s="327"/>
      <c r="C691" s="315"/>
      <c r="D691" s="236" t="s">
        <v>486</v>
      </c>
      <c r="E691" s="283">
        <v>0.09</v>
      </c>
      <c r="F691" s="120" t="s">
        <v>387</v>
      </c>
      <c r="G691" s="120" t="str">
        <f t="shared" si="5"/>
        <v>All Alum scrap - 0.09, </v>
      </c>
      <c r="H691" s="133"/>
    </row>
    <row r="692" spans="1:8" ht="15" customHeight="1">
      <c r="A692" s="327"/>
      <c r="B692" s="327"/>
      <c r="C692" s="315"/>
      <c r="D692" s="236" t="s">
        <v>487</v>
      </c>
      <c r="E692" s="283">
        <v>0.096</v>
      </c>
      <c r="F692" s="120" t="s">
        <v>387</v>
      </c>
      <c r="G692" s="120" t="str">
        <f t="shared" si="5"/>
        <v>Alu scrap of damaged T/F accessories - 0.096, </v>
      </c>
      <c r="H692" s="133"/>
    </row>
    <row r="693" spans="1:8" ht="15" customHeight="1">
      <c r="A693" s="327"/>
      <c r="B693" s="327"/>
      <c r="C693" s="315"/>
      <c r="D693" s="236" t="s">
        <v>488</v>
      </c>
      <c r="E693" s="283">
        <v>0.033</v>
      </c>
      <c r="F693" s="120" t="s">
        <v>387</v>
      </c>
      <c r="G693" s="120" t="str">
        <f t="shared" si="5"/>
        <v>Copper scrap - 0.033, </v>
      </c>
      <c r="H693" s="133"/>
    </row>
    <row r="694" spans="1:8" ht="15" customHeight="1">
      <c r="A694" s="55"/>
      <c r="B694" s="71"/>
      <c r="C694" s="235"/>
      <c r="D694" s="44"/>
      <c r="E694" s="84"/>
      <c r="F694" s="120"/>
      <c r="G694" s="120"/>
      <c r="H694" s="133"/>
    </row>
    <row r="695" spans="1:8" ht="15" customHeight="1">
      <c r="A695" s="55"/>
      <c r="B695" s="71"/>
      <c r="C695" s="235"/>
      <c r="D695" s="50"/>
      <c r="E695" s="82">
        <f>SUM(E697:E698)</f>
        <v>0.30800000000000005</v>
      </c>
      <c r="F695" s="120"/>
      <c r="G695" s="120"/>
      <c r="H695" s="133"/>
    </row>
    <row r="696" spans="1:18" ht="15" customHeight="1">
      <c r="A696" s="303" t="s">
        <v>5</v>
      </c>
      <c r="B696" s="303"/>
      <c r="C696" s="78" t="s">
        <v>17</v>
      </c>
      <c r="D696" s="79" t="s">
        <v>18</v>
      </c>
      <c r="E696" s="78" t="s">
        <v>7</v>
      </c>
      <c r="F696" s="120"/>
      <c r="G696" s="122" t="str">
        <f>CONCATENATE("Misc. Healthy parts/ Non Ferrous  Scrap, Lying at ",C697,". Quantity in MT - ")</f>
        <v>Misc. Healthy parts/ Non Ferrous  Scrap, Lying at OL store Malerkotla. Quantity in MT - </v>
      </c>
      <c r="H696" s="339" t="str">
        <f ca="1">CONCATENATE(G696,G697,(INDIRECT(I697)),(INDIRECT(J697)),(INDIRECT(K697)),(INDIRECT(L697)),(INDIRECT(M697)),(INDIRECT(N697)),(INDIRECT(O697)),(INDIRECT(P697)),(INDIRECT(Q697)),(INDIRECT(R697)),".")</f>
        <v>Misc. Healthy parts/ Non Ferrous  Scrap, Lying at OL store Malerkotla. Quantity in MT - Misc. Alumn. Scrap - 0.028, Misc. copper scrap - 0.28, .</v>
      </c>
      <c r="I696" s="129" t="str">
        <f aca="true" ca="1" t="array" ref="I696">CELL("address",INDEX(G696:G719,MATCH(TRUE,ISBLANK(G696:G719),0)))</f>
        <v>$G$699</v>
      </c>
      <c r="J696" s="129">
        <f aca="true" t="array" ref="J696">MATCH(TRUE,ISBLANK(G696:G719),0)</f>
        <v>4</v>
      </c>
      <c r="K696" s="129">
        <f>J696-3</f>
        <v>1</v>
      </c>
      <c r="L696" s="129"/>
      <c r="M696" s="129"/>
      <c r="N696" s="129"/>
      <c r="O696" s="129"/>
      <c r="P696" s="129"/>
      <c r="Q696" s="129"/>
      <c r="R696" s="129"/>
    </row>
    <row r="697" spans="1:18" ht="15" customHeight="1">
      <c r="A697" s="316" t="s">
        <v>54</v>
      </c>
      <c r="B697" s="317"/>
      <c r="C697" s="322" t="s">
        <v>118</v>
      </c>
      <c r="D697" s="73" t="s">
        <v>31</v>
      </c>
      <c r="E697" s="52">
        <v>0.028</v>
      </c>
      <c r="F697" s="120"/>
      <c r="G697" s="120" t="str">
        <f>CONCATENATE(D697," - ",E697,", ")</f>
        <v>Misc. Alumn. Scrap - 0.028, </v>
      </c>
      <c r="H697" s="339"/>
      <c r="I697" s="129" t="str">
        <f ca="1">IF(J696&gt;=3,(MID(I696,2,1)&amp;MID(I696,4,4)-K696),CELL("address",Z697))</f>
        <v>G698</v>
      </c>
      <c r="J697" s="129" t="str">
        <f ca="1">IF(J696&gt;=4,(MID(I697,1,1)&amp;MID(I697,2,4)+1),CELL("address",AA697))</f>
        <v>G699</v>
      </c>
      <c r="K697" s="129" t="str">
        <f ca="1">IF(J696&gt;=5,(MID(J697,1,1)&amp;MID(J697,2,4)+1),CELL("address",AB697))</f>
        <v>$AB$697</v>
      </c>
      <c r="L697" s="129" t="str">
        <f ca="1">IF(J696&gt;=6,(MID(K697,1,1)&amp;MID(K697,2,4)+1),CELL("address",AC697))</f>
        <v>$AC$697</v>
      </c>
      <c r="M697" s="129" t="str">
        <f ca="1">IF(J696&gt;=7,(MID(L697,1,1)&amp;MID(L697,2,4)+1),CELL("address",AD697))</f>
        <v>$AD$697</v>
      </c>
      <c r="N697" s="129" t="str">
        <f ca="1">IF(J696&gt;=8,(MID(M697,1,1)&amp;MID(M697,2,4)+1),CELL("address",AE697))</f>
        <v>$AE$697</v>
      </c>
      <c r="O697" s="129" t="str">
        <f ca="1">IF(J696&gt;=9,(MID(N697,1,1)&amp;MID(N697,2,4)+1),CELL("address",AF697))</f>
        <v>$AF$697</v>
      </c>
      <c r="P697" s="129" t="str">
        <f ca="1">IF(J696&gt;=10,(MID(O697,1,1)&amp;MID(O697,2,4)+1),CELL("address",AG697))</f>
        <v>$AG$697</v>
      </c>
      <c r="Q697" s="129" t="str">
        <f ca="1">IF(J696&gt;=11,(MID(P697,1,1)&amp;MID(P697,2,4)+1),CELL("address",AH697))</f>
        <v>$AH$697</v>
      </c>
      <c r="R697" s="129" t="str">
        <f ca="1">IF(J696&gt;=12,(MID(Q697,1,1)&amp;MID(Q697,2,4)+1),CELL("address",AI697))</f>
        <v>$AI$697</v>
      </c>
    </row>
    <row r="698" spans="1:8" ht="15" customHeight="1">
      <c r="A698" s="320"/>
      <c r="B698" s="321"/>
      <c r="C698" s="324"/>
      <c r="D698" s="73" t="s">
        <v>113</v>
      </c>
      <c r="E698" s="78">
        <v>0.28</v>
      </c>
      <c r="F698" s="120"/>
      <c r="G698" s="120" t="str">
        <f>CONCATENATE(D698," - ",E698,", ")</f>
        <v>Misc. copper scrap - 0.28, </v>
      </c>
      <c r="H698" s="133"/>
    </row>
    <row r="699" spans="1:8" ht="15" customHeight="1">
      <c r="A699" s="308"/>
      <c r="B699" s="326"/>
      <c r="C699" s="228"/>
      <c r="D699" s="73"/>
      <c r="E699" s="78"/>
      <c r="F699" s="120"/>
      <c r="G699" s="120"/>
      <c r="H699" s="133"/>
    </row>
    <row r="700" spans="1:8" ht="15" customHeight="1">
      <c r="A700" s="313"/>
      <c r="B700" s="314"/>
      <c r="C700" s="81"/>
      <c r="D700" s="81"/>
      <c r="E700" s="82">
        <f>SUM(E702:E703)</f>
        <v>0.067</v>
      </c>
      <c r="F700" s="120"/>
      <c r="G700" s="120"/>
      <c r="H700" s="133"/>
    </row>
    <row r="701" spans="1:18" ht="15" customHeight="1">
      <c r="A701" s="303" t="s">
        <v>5</v>
      </c>
      <c r="B701" s="303"/>
      <c r="C701" s="78" t="s">
        <v>17</v>
      </c>
      <c r="D701" s="79" t="s">
        <v>18</v>
      </c>
      <c r="E701" s="78" t="s">
        <v>7</v>
      </c>
      <c r="F701" s="120"/>
      <c r="G701" s="122" t="str">
        <f>CONCATENATE("Misc. Healthy parts/ Non Ferrous  Scrap, Lying at ",C702,". Quantity in MT - ")</f>
        <v>Misc. Healthy parts/ Non Ferrous  Scrap, Lying at TRY Malerkotla. Quantity in MT - </v>
      </c>
      <c r="H701" s="339" t="str">
        <f ca="1">CONCATENATE(G701,G702,(INDIRECT(I702)),(INDIRECT(J702)),(INDIRECT(K702)),(INDIRECT(L702)),(INDIRECT(M702)),(INDIRECT(N702)),(INDIRECT(O702)),(INDIRECT(P702)),(INDIRECT(Q702)),(INDIRECT(R702)),".")</f>
        <v>Misc. Healthy parts/ Non Ferrous  Scrap, Lying at TRY Malerkotla. Quantity in MT - Brass scrap - 0.062, Misc. Alumn. Scrap - 0.005, .</v>
      </c>
      <c r="I701" s="129" t="str">
        <f aca="true" ca="1" t="array" ref="I701">CELL("address",INDEX(G701:G724,MATCH(TRUE,ISBLANK(G701:G724),0)))</f>
        <v>$G$704</v>
      </c>
      <c r="J701" s="129">
        <f aca="true" t="array" ref="J701">MATCH(TRUE,ISBLANK(G701:G724),0)</f>
        <v>4</v>
      </c>
      <c r="K701" s="129">
        <f>J701-3</f>
        <v>1</v>
      </c>
      <c r="L701" s="129"/>
      <c r="M701" s="129"/>
      <c r="N701" s="129"/>
      <c r="O701" s="129"/>
      <c r="P701" s="129"/>
      <c r="Q701" s="129"/>
      <c r="R701" s="129"/>
    </row>
    <row r="702" spans="1:18" ht="15" customHeight="1">
      <c r="A702" s="303" t="s">
        <v>117</v>
      </c>
      <c r="B702" s="303"/>
      <c r="C702" s="315" t="s">
        <v>28</v>
      </c>
      <c r="D702" s="50" t="s">
        <v>23</v>
      </c>
      <c r="E702" s="50">
        <v>0.062</v>
      </c>
      <c r="F702" s="120"/>
      <c r="G702" s="120" t="str">
        <f>CONCATENATE(D702," - ",E702,", ")</f>
        <v>Brass scrap - 0.062, </v>
      </c>
      <c r="H702" s="339"/>
      <c r="I702" s="129" t="str">
        <f ca="1">IF(J701&gt;=3,(MID(I701,2,1)&amp;MID(I701,4,4)-K701),CELL("address",Z702))</f>
        <v>G703</v>
      </c>
      <c r="J702" s="129" t="str">
        <f ca="1">IF(J701&gt;=4,(MID(I702,1,1)&amp;MID(I702,2,4)+1),CELL("address",AA702))</f>
        <v>G704</v>
      </c>
      <c r="K702" s="129" t="str">
        <f ca="1">IF(J701&gt;=5,(MID(J702,1,1)&amp;MID(J702,2,4)+1),CELL("address",AB702))</f>
        <v>$AB$702</v>
      </c>
      <c r="L702" s="129" t="str">
        <f ca="1">IF(J701&gt;=6,(MID(K702,1,1)&amp;MID(K702,2,4)+1),CELL("address",AC702))</f>
        <v>$AC$702</v>
      </c>
      <c r="M702" s="129" t="str">
        <f ca="1">IF(J701&gt;=7,(MID(L702,1,1)&amp;MID(L702,2,4)+1),CELL("address",AD702))</f>
        <v>$AD$702</v>
      </c>
      <c r="N702" s="129" t="str">
        <f ca="1">IF(J701&gt;=8,(MID(M702,1,1)&amp;MID(M702,2,4)+1),CELL("address",AE702))</f>
        <v>$AE$702</v>
      </c>
      <c r="O702" s="129" t="str">
        <f ca="1">IF(J701&gt;=9,(MID(N702,1,1)&amp;MID(N702,2,4)+1),CELL("address",AF702))</f>
        <v>$AF$702</v>
      </c>
      <c r="P702" s="129" t="str">
        <f ca="1">IF(J701&gt;=10,(MID(O702,1,1)&amp;MID(O702,2,4)+1),CELL("address",AG702))</f>
        <v>$AG$702</v>
      </c>
      <c r="Q702" s="129" t="str">
        <f ca="1">IF(J701&gt;=11,(MID(P702,1,1)&amp;MID(P702,2,4)+1),CELL("address",AH702))</f>
        <v>$AH$702</v>
      </c>
      <c r="R702" s="129" t="str">
        <f ca="1">IF(J701&gt;=12,(MID(Q702,1,1)&amp;MID(Q702,2,4)+1),CELL("address",AI702))</f>
        <v>$AI$702</v>
      </c>
    </row>
    <row r="703" spans="1:8" ht="15" customHeight="1">
      <c r="A703" s="303"/>
      <c r="B703" s="303"/>
      <c r="C703" s="315"/>
      <c r="D703" s="50" t="s">
        <v>31</v>
      </c>
      <c r="E703" s="78">
        <v>0.005</v>
      </c>
      <c r="F703" s="120"/>
      <c r="G703" s="120" t="str">
        <f>CONCATENATE(D703," - ",E703,", ")</f>
        <v>Misc. Alumn. Scrap - 0.005, </v>
      </c>
      <c r="H703" s="133"/>
    </row>
    <row r="704" spans="1:8" ht="15" customHeight="1">
      <c r="A704" s="308"/>
      <c r="B704" s="326"/>
      <c r="C704" s="228"/>
      <c r="D704" s="50"/>
      <c r="E704" s="78"/>
      <c r="F704" s="120"/>
      <c r="G704" s="120"/>
      <c r="H704" s="133"/>
    </row>
    <row r="705" spans="1:8" ht="15" customHeight="1">
      <c r="A705" s="313"/>
      <c r="B705" s="314"/>
      <c r="C705" s="81"/>
      <c r="D705" s="81"/>
      <c r="E705" s="82">
        <f>SUM(E707:E711)</f>
        <v>1.432</v>
      </c>
      <c r="F705" s="120"/>
      <c r="G705" s="120"/>
      <c r="H705" s="133"/>
    </row>
    <row r="706" spans="1:18" ht="15" customHeight="1">
      <c r="A706" s="308" t="s">
        <v>5</v>
      </c>
      <c r="B706" s="326"/>
      <c r="C706" s="78" t="s">
        <v>17</v>
      </c>
      <c r="D706" s="79" t="s">
        <v>18</v>
      </c>
      <c r="E706" s="78" t="s">
        <v>7</v>
      </c>
      <c r="F706" s="120"/>
      <c r="G706" s="122" t="str">
        <f>CONCATENATE("Misc. Healthy parts/ Non Ferrous  Scrap, Lying at ",C707,". Quantity in MT - ")</f>
        <v>Misc. Healthy parts/ Non Ferrous  Scrap, Lying at TRY Patran. Quantity in MT - </v>
      </c>
      <c r="H706" s="339" t="str">
        <f ca="1">CONCATENATE(G706,G707,(INDIRECT(I707)),(INDIRECT(J707)),(INDIRECT(K707)),(INDIRECT(L707)),(INDIRECT(M707)),(INDIRECT(N707)),(INDIRECT(O707)),(INDIRECT(P707)),(INDIRECT(Q707)),(INDIRECT(R707)),".")</f>
        <v>Misc. Healthy parts/ Non Ferrous  Scrap, Lying at TRY Patran. Quantity in MT - Brass scrap - 0.642, Misc. Aluminium scrap - 0.071, Burnt Cu scrap - 0.028, Ms Nuts &amp; Bolts - 0.6, Iron scrap - 0.091, .</v>
      </c>
      <c r="I706" s="129" t="str">
        <f aca="true" ca="1" t="array" ref="I706">CELL("address",INDEX(G706:G729,MATCH(TRUE,ISBLANK(G706:G729),0)))</f>
        <v>$G$712</v>
      </c>
      <c r="J706" s="129">
        <f aca="true" t="array" ref="J706">MATCH(TRUE,ISBLANK(G706:G729),0)</f>
        <v>7</v>
      </c>
      <c r="K706" s="129">
        <f>J706-3</f>
        <v>4</v>
      </c>
      <c r="L706" s="129"/>
      <c r="M706" s="129"/>
      <c r="N706" s="129"/>
      <c r="O706" s="129"/>
      <c r="P706" s="129"/>
      <c r="Q706" s="129"/>
      <c r="R706" s="129"/>
    </row>
    <row r="707" spans="1:18" ht="15" customHeight="1">
      <c r="A707" s="303" t="s">
        <v>119</v>
      </c>
      <c r="B707" s="303"/>
      <c r="C707" s="322" t="s">
        <v>138</v>
      </c>
      <c r="D707" s="45" t="s">
        <v>23</v>
      </c>
      <c r="E707" s="51">
        <v>0.642</v>
      </c>
      <c r="F707" s="120"/>
      <c r="G707" s="120" t="str">
        <f>CONCATENATE(D707," - ",E707,", ")</f>
        <v>Brass scrap - 0.642, </v>
      </c>
      <c r="H707" s="339"/>
      <c r="I707" s="129" t="str">
        <f ca="1">IF(J706&gt;=3,(MID(I706,2,1)&amp;MID(I706,4,4)-K706),CELL("address",Z707))</f>
        <v>G708</v>
      </c>
      <c r="J707" s="129" t="str">
        <f ca="1">IF(J706&gt;=4,(MID(I707,1,1)&amp;MID(I707,2,4)+1),CELL("address",AA707))</f>
        <v>G709</v>
      </c>
      <c r="K707" s="129" t="str">
        <f ca="1">IF(J706&gt;=5,(MID(J707,1,1)&amp;MID(J707,2,4)+1),CELL("address",AB707))</f>
        <v>G710</v>
      </c>
      <c r="L707" s="129" t="str">
        <f ca="1">IF(J706&gt;=6,(MID(K707,1,1)&amp;MID(K707,2,4)+1),CELL("address",AC707))</f>
        <v>G711</v>
      </c>
      <c r="M707" s="129" t="str">
        <f ca="1">IF(J706&gt;=7,(MID(L707,1,1)&amp;MID(L707,2,4)+1),CELL("address",AD707))</f>
        <v>G712</v>
      </c>
      <c r="N707" s="129" t="str">
        <f ca="1">IF(J706&gt;=8,(MID(M707,1,1)&amp;MID(M707,2,4)+1),CELL("address",AE707))</f>
        <v>$AE$707</v>
      </c>
      <c r="O707" s="129" t="str">
        <f ca="1">IF(J706&gt;=9,(MID(N707,1,1)&amp;MID(N707,2,4)+1),CELL("address",AF707))</f>
        <v>$AF$707</v>
      </c>
      <c r="P707" s="129" t="str">
        <f ca="1">IF(J706&gt;=10,(MID(O707,1,1)&amp;MID(O707,2,4)+1),CELL("address",AG707))</f>
        <v>$AG$707</v>
      </c>
      <c r="Q707" s="129" t="str">
        <f ca="1">IF(J706&gt;=11,(MID(P707,1,1)&amp;MID(P707,2,4)+1),CELL("address",AH707))</f>
        <v>$AH$707</v>
      </c>
      <c r="R707" s="129" t="str">
        <f ca="1">IF(J706&gt;=12,(MID(Q707,1,1)&amp;MID(Q707,2,4)+1),CELL("address",AI707))</f>
        <v>$AI$707</v>
      </c>
    </row>
    <row r="708" spans="1:8" ht="15" customHeight="1">
      <c r="A708" s="303"/>
      <c r="B708" s="303"/>
      <c r="C708" s="323"/>
      <c r="D708" s="45" t="s">
        <v>24</v>
      </c>
      <c r="E708" s="51">
        <v>0.071</v>
      </c>
      <c r="F708" s="120"/>
      <c r="G708" s="120" t="str">
        <f>CONCATENATE(D708," - ",E708,", ")</f>
        <v>Misc. Aluminium scrap - 0.071, </v>
      </c>
      <c r="H708" s="133"/>
    </row>
    <row r="709" spans="1:8" ht="15" customHeight="1">
      <c r="A709" s="303"/>
      <c r="B709" s="303"/>
      <c r="C709" s="323"/>
      <c r="D709" s="45" t="s">
        <v>37</v>
      </c>
      <c r="E709" s="51">
        <v>0.028</v>
      </c>
      <c r="F709" s="120"/>
      <c r="G709" s="120" t="str">
        <f>CONCATENATE(D709," - ",E709,", ")</f>
        <v>Burnt Cu scrap - 0.028, </v>
      </c>
      <c r="H709" s="133"/>
    </row>
    <row r="710" spans="1:8" ht="15" customHeight="1">
      <c r="A710" s="303"/>
      <c r="B710" s="303"/>
      <c r="C710" s="323"/>
      <c r="D710" s="50" t="s">
        <v>149</v>
      </c>
      <c r="E710" s="51">
        <v>0.6</v>
      </c>
      <c r="F710" s="120"/>
      <c r="G710" s="120" t="str">
        <f>CONCATENATE(D710," - ",E710,", ")</f>
        <v>Ms Nuts &amp; Bolts - 0.6, </v>
      </c>
      <c r="H710" s="133"/>
    </row>
    <row r="711" spans="1:8" ht="15" customHeight="1">
      <c r="A711" s="303"/>
      <c r="B711" s="303"/>
      <c r="C711" s="324"/>
      <c r="D711" s="45" t="s">
        <v>27</v>
      </c>
      <c r="E711" s="51">
        <v>0.091</v>
      </c>
      <c r="F711" s="120"/>
      <c r="G711" s="120" t="str">
        <f>CONCATENATE(D711," - ",E711,", ")</f>
        <v>Iron scrap - 0.091, </v>
      </c>
      <c r="H711" s="133"/>
    </row>
    <row r="712" spans="1:8" ht="15" customHeight="1">
      <c r="A712" s="55"/>
      <c r="B712" s="71"/>
      <c r="C712" s="235"/>
      <c r="D712" s="50"/>
      <c r="E712" s="51"/>
      <c r="F712" s="120"/>
      <c r="G712" s="120"/>
      <c r="H712" s="133"/>
    </row>
    <row r="713" spans="1:8" ht="15" customHeight="1">
      <c r="A713" s="313"/>
      <c r="B713" s="314"/>
      <c r="C713" s="81"/>
      <c r="D713" s="81"/>
      <c r="E713" s="82">
        <f>SUM(E715:E716)</f>
        <v>0.8340000000000001</v>
      </c>
      <c r="F713" s="120"/>
      <c r="G713" s="120"/>
      <c r="H713" s="133"/>
    </row>
    <row r="714" spans="1:18" ht="15" customHeight="1">
      <c r="A714" s="303" t="s">
        <v>5</v>
      </c>
      <c r="B714" s="303"/>
      <c r="C714" s="78" t="s">
        <v>17</v>
      </c>
      <c r="D714" s="79" t="s">
        <v>18</v>
      </c>
      <c r="E714" s="78" t="s">
        <v>7</v>
      </c>
      <c r="F714" s="120"/>
      <c r="G714" s="122" t="str">
        <f>CONCATENATE("Misc. Healthy parts/ Non Ferrous  Scrap, Lying at ",C715,". Quantity in MT - ")</f>
        <v>Misc. Healthy parts/ Non Ferrous  Scrap, Lying at TRY Patran. Quantity in MT - </v>
      </c>
      <c r="H714" s="339" t="str">
        <f ca="1">CONCATENATE(G714,G715,(INDIRECT(I715)),(INDIRECT(J715)),(INDIRECT(K715)),(INDIRECT(L715)),(INDIRECT(M715)),(INDIRECT(N715)),(INDIRECT(O715)),(INDIRECT(P715)),(INDIRECT(Q715)),(INDIRECT(R715)),".")</f>
        <v>Misc. Healthy parts/ Non Ferrous  Scrap, Lying at TRY Patran. Quantity in MT - Brass scrap - 0.783, Misc. Alumn. Scrap - 0.051, .</v>
      </c>
      <c r="I714" s="129" t="str">
        <f aca="true" ca="1" t="array" ref="I714">CELL("address",INDEX(G714:G736,MATCH(TRUE,ISBLANK(G714:G736),0)))</f>
        <v>$G$717</v>
      </c>
      <c r="J714" s="129">
        <f aca="true" t="array" ref="J714">MATCH(TRUE,ISBLANK(G714:G736),0)</f>
        <v>4</v>
      </c>
      <c r="K714" s="129">
        <f>J714-3</f>
        <v>1</v>
      </c>
      <c r="L714" s="129"/>
      <c r="M714" s="129"/>
      <c r="N714" s="129"/>
      <c r="O714" s="129"/>
      <c r="P714" s="129"/>
      <c r="Q714" s="129"/>
      <c r="R714" s="129"/>
    </row>
    <row r="715" spans="1:18" ht="15" customHeight="1">
      <c r="A715" s="303" t="s">
        <v>120</v>
      </c>
      <c r="B715" s="303"/>
      <c r="C715" s="315" t="s">
        <v>138</v>
      </c>
      <c r="D715" s="50" t="s">
        <v>23</v>
      </c>
      <c r="E715" s="50">
        <v>0.783</v>
      </c>
      <c r="F715" s="120"/>
      <c r="G715" s="120" t="str">
        <f>CONCATENATE(D715," - ",E715,", ")</f>
        <v>Brass scrap - 0.783, </v>
      </c>
      <c r="H715" s="339"/>
      <c r="I715" s="129" t="str">
        <f ca="1">IF(J714&gt;=3,(MID(I714,2,1)&amp;MID(I714,4,4)-K714),CELL("address",Z715))</f>
        <v>G716</v>
      </c>
      <c r="J715" s="129" t="str">
        <f ca="1">IF(J714&gt;=4,(MID(I715,1,1)&amp;MID(I715,2,4)+1),CELL("address",AA715))</f>
        <v>G717</v>
      </c>
      <c r="K715" s="129" t="str">
        <f ca="1">IF(J714&gt;=5,(MID(J715,1,1)&amp;MID(J715,2,4)+1),CELL("address",AB715))</f>
        <v>$AB$715</v>
      </c>
      <c r="L715" s="129" t="str">
        <f ca="1">IF(J714&gt;=6,(MID(K715,1,1)&amp;MID(K715,2,4)+1),CELL("address",AC715))</f>
        <v>$AC$715</v>
      </c>
      <c r="M715" s="129" t="str">
        <f ca="1">IF(J714&gt;=7,(MID(L715,1,1)&amp;MID(L715,2,4)+1),CELL("address",AD715))</f>
        <v>$AD$715</v>
      </c>
      <c r="N715" s="129" t="str">
        <f ca="1">IF(J714&gt;=8,(MID(M715,1,1)&amp;MID(M715,2,4)+1),CELL("address",AE715))</f>
        <v>$AE$715</v>
      </c>
      <c r="O715" s="129" t="str">
        <f ca="1">IF(J714&gt;=9,(MID(N715,1,1)&amp;MID(N715,2,4)+1),CELL("address",AF715))</f>
        <v>$AF$715</v>
      </c>
      <c r="P715" s="129" t="str">
        <f ca="1">IF(J714&gt;=10,(MID(O715,1,1)&amp;MID(O715,2,4)+1),CELL("address",AG715))</f>
        <v>$AG$715</v>
      </c>
      <c r="Q715" s="129" t="str">
        <f ca="1">IF(J714&gt;=11,(MID(P715,1,1)&amp;MID(P715,2,4)+1),CELL("address",AH715))</f>
        <v>$AH$715</v>
      </c>
      <c r="R715" s="129" t="str">
        <f ca="1">IF(J714&gt;=12,(MID(Q715,1,1)&amp;MID(Q715,2,4)+1),CELL("address",AI715))</f>
        <v>$AI$715</v>
      </c>
    </row>
    <row r="716" spans="1:8" ht="15" customHeight="1">
      <c r="A716" s="303"/>
      <c r="B716" s="303"/>
      <c r="C716" s="315"/>
      <c r="D716" s="50" t="s">
        <v>31</v>
      </c>
      <c r="E716" s="78">
        <v>0.051</v>
      </c>
      <c r="F716" s="120"/>
      <c r="G716" s="120" t="str">
        <f>CONCATENATE(D716," - ",E716,", ")</f>
        <v>Misc. Alumn. Scrap - 0.051, </v>
      </c>
      <c r="H716" s="133"/>
    </row>
    <row r="717" spans="1:8" ht="15" customHeight="1">
      <c r="A717" s="40"/>
      <c r="F717" s="120"/>
      <c r="G717" s="120"/>
      <c r="H717" s="133"/>
    </row>
    <row r="718" spans="1:8" ht="15" customHeight="1">
      <c r="A718" s="313"/>
      <c r="B718" s="314"/>
      <c r="C718" s="81"/>
      <c r="D718" s="81"/>
      <c r="E718" s="82">
        <f>SUM(E720:E721)</f>
        <v>2.17</v>
      </c>
      <c r="F718" s="120"/>
      <c r="G718" s="120"/>
      <c r="H718" s="133"/>
    </row>
    <row r="719" spans="1:18" ht="15" customHeight="1">
      <c r="A719" s="303" t="s">
        <v>5</v>
      </c>
      <c r="B719" s="303"/>
      <c r="C719" s="78" t="s">
        <v>17</v>
      </c>
      <c r="D719" s="79" t="s">
        <v>18</v>
      </c>
      <c r="E719" s="78" t="s">
        <v>7</v>
      </c>
      <c r="F719" s="120"/>
      <c r="G719" s="122" t="str">
        <f>CONCATENATE("Misc. Healthy parts/ Non Ferrous  Scrap, Lying at ",C720,". Quantity in MT - ")</f>
        <v>Misc. Healthy parts/ Non Ferrous  Scrap, Lying at TRY Ropar. Quantity in MT - </v>
      </c>
      <c r="H719" s="339" t="str">
        <f ca="1">CONCATENATE(G719,G720,(INDIRECT(I720)),(INDIRECT(J720)),(INDIRECT(K720)),(INDIRECT(L720)),(INDIRECT(M720)),(INDIRECT(N720)),(INDIRECT(O720)),(INDIRECT(P720)),(INDIRECT(Q720)),(INDIRECT(R720)),".")</f>
        <v>Misc. Healthy parts/ Non Ferrous  Scrap, Lying at TRY Ropar. Quantity in MT - Brass scrap - 2.007, Misc. Alumn. Scrap - 0.163, .</v>
      </c>
      <c r="I719" s="129" t="str">
        <f aca="true" ca="1" t="array" ref="I719">CELL("address",INDEX(G719:G741,MATCH(TRUE,ISBLANK(G719:G741),0)))</f>
        <v>$G$722</v>
      </c>
      <c r="J719" s="129">
        <f aca="true" t="array" ref="J719">MATCH(TRUE,ISBLANK(G719:G741),0)</f>
        <v>4</v>
      </c>
      <c r="K719" s="129">
        <f>J719-3</f>
        <v>1</v>
      </c>
      <c r="L719" s="129"/>
      <c r="M719" s="129"/>
      <c r="N719" s="129"/>
      <c r="O719" s="129"/>
      <c r="P719" s="129"/>
      <c r="Q719" s="129"/>
      <c r="R719" s="129"/>
    </row>
    <row r="720" spans="1:18" ht="15" customHeight="1">
      <c r="A720" s="303" t="s">
        <v>127</v>
      </c>
      <c r="B720" s="303"/>
      <c r="C720" s="315" t="s">
        <v>145</v>
      </c>
      <c r="D720" s="50" t="s">
        <v>23</v>
      </c>
      <c r="E720" s="50">
        <v>2.007</v>
      </c>
      <c r="F720" s="120"/>
      <c r="G720" s="120" t="str">
        <f>CONCATENATE(D720," - ",E720,", ")</f>
        <v>Brass scrap - 2.007, </v>
      </c>
      <c r="H720" s="339"/>
      <c r="I720" s="129" t="str">
        <f ca="1">IF(J719&gt;=3,(MID(I719,2,1)&amp;MID(I719,4,4)-K719),CELL("address",Z720))</f>
        <v>G721</v>
      </c>
      <c r="J720" s="129" t="str">
        <f ca="1">IF(J719&gt;=4,(MID(I720,1,1)&amp;MID(I720,2,4)+1),CELL("address",AA720))</f>
        <v>G722</v>
      </c>
      <c r="K720" s="129" t="str">
        <f ca="1">IF(J719&gt;=5,(MID(J720,1,1)&amp;MID(J720,2,4)+1),CELL("address",AB720))</f>
        <v>$AB$720</v>
      </c>
      <c r="L720" s="129" t="str">
        <f ca="1">IF(J719&gt;=6,(MID(K720,1,1)&amp;MID(K720,2,4)+1),CELL("address",AC720))</f>
        <v>$AC$720</v>
      </c>
      <c r="M720" s="129" t="str">
        <f ca="1">IF(J719&gt;=7,(MID(L720,1,1)&amp;MID(L720,2,4)+1),CELL("address",AD720))</f>
        <v>$AD$720</v>
      </c>
      <c r="N720" s="129" t="str">
        <f ca="1">IF(J719&gt;=8,(MID(M720,1,1)&amp;MID(M720,2,4)+1),CELL("address",AE720))</f>
        <v>$AE$720</v>
      </c>
      <c r="O720" s="129" t="str">
        <f ca="1">IF(J719&gt;=9,(MID(N720,1,1)&amp;MID(N720,2,4)+1),CELL("address",AF720))</f>
        <v>$AF$720</v>
      </c>
      <c r="P720" s="129" t="str">
        <f ca="1">IF(J719&gt;=10,(MID(O720,1,1)&amp;MID(O720,2,4)+1),CELL("address",AG720))</f>
        <v>$AG$720</v>
      </c>
      <c r="Q720" s="129" t="str">
        <f ca="1">IF(J719&gt;=11,(MID(P720,1,1)&amp;MID(P720,2,4)+1),CELL("address",AH720))</f>
        <v>$AH$720</v>
      </c>
      <c r="R720" s="129" t="str">
        <f ca="1">IF(J719&gt;=12,(MID(Q720,1,1)&amp;MID(Q720,2,4)+1),CELL("address",AI720))</f>
        <v>$AI$720</v>
      </c>
    </row>
    <row r="721" spans="1:8" ht="15" customHeight="1">
      <c r="A721" s="303"/>
      <c r="B721" s="303"/>
      <c r="C721" s="315"/>
      <c r="D721" s="50" t="s">
        <v>31</v>
      </c>
      <c r="E721" s="78">
        <v>0.163</v>
      </c>
      <c r="F721" s="120"/>
      <c r="G721" s="120" t="str">
        <f>CONCATENATE(D721," - ",E721,", ")</f>
        <v>Misc. Alumn. Scrap - 0.163, </v>
      </c>
      <c r="H721" s="133"/>
    </row>
    <row r="722" spans="1:8" ht="15" customHeight="1">
      <c r="A722" s="57"/>
      <c r="B722" s="60"/>
      <c r="C722" s="22"/>
      <c r="D722" s="102"/>
      <c r="E722" s="101"/>
      <c r="F722" s="120"/>
      <c r="G722" s="120"/>
      <c r="H722" s="133"/>
    </row>
    <row r="723" spans="1:8" ht="15" customHeight="1">
      <c r="A723" s="313"/>
      <c r="B723" s="314"/>
      <c r="C723" s="81"/>
      <c r="D723" s="81"/>
      <c r="E723" s="82">
        <f>SUM(E725:E729)</f>
        <v>1.1320000000000001</v>
      </c>
      <c r="F723" s="120"/>
      <c r="G723" s="120"/>
      <c r="H723" s="133"/>
    </row>
    <row r="724" spans="1:18" ht="15" customHeight="1">
      <c r="A724" s="303" t="s">
        <v>5</v>
      </c>
      <c r="B724" s="303"/>
      <c r="C724" s="78" t="s">
        <v>17</v>
      </c>
      <c r="D724" s="79" t="s">
        <v>18</v>
      </c>
      <c r="E724" s="78" t="s">
        <v>7</v>
      </c>
      <c r="F724" s="120"/>
      <c r="G724" s="122" t="str">
        <f>CONCATENATE("Misc. Healthy parts/ Non Ferrous  Scrap, Lying at ",C725,". Quantity in MT - ")</f>
        <v>Misc. Healthy parts/ Non Ferrous  Scrap, Lying at TRY Patiala. Quantity in MT - </v>
      </c>
      <c r="H724" s="339" t="str">
        <f ca="1">CONCATENATE(G724,G725,(INDIRECT(I725)),(INDIRECT(J725)),(INDIRECT(K725)),(INDIRECT(L725)),(INDIRECT(M725)),(INDIRECT(N725)),(INDIRECT(O725)),(INDIRECT(P725)),(INDIRECT(Q725)),(INDIRECT(R725)),".")</f>
        <v>Misc. Healthy parts/ Non Ferrous  Scrap, Lying at TRY Patiala. Quantity in MT - Brass scrap - 0.46, Misc. Alumn. Scrap - 0.043, Burnt Cu scrap - 0.033, Nuts &amp; Bolts scrap - 0.52, Teen Patra scrap - 0.076, .</v>
      </c>
      <c r="I724" s="129" t="str">
        <f aca="true" ca="1" t="array" ref="I724">CELL("address",INDEX(G724:G746,MATCH(TRUE,ISBLANK(G724:G746),0)))</f>
        <v>$G$730</v>
      </c>
      <c r="J724" s="129">
        <f aca="true" t="array" ref="J724">MATCH(TRUE,ISBLANK(G724:G746),0)</f>
        <v>7</v>
      </c>
      <c r="K724" s="129">
        <f>J724-3</f>
        <v>4</v>
      </c>
      <c r="L724" s="129"/>
      <c r="M724" s="129"/>
      <c r="N724" s="129"/>
      <c r="O724" s="129"/>
      <c r="P724" s="129"/>
      <c r="Q724" s="129"/>
      <c r="R724" s="129"/>
    </row>
    <row r="725" spans="1:18" ht="15" customHeight="1">
      <c r="A725" s="303" t="s">
        <v>135</v>
      </c>
      <c r="B725" s="303"/>
      <c r="C725" s="315" t="s">
        <v>122</v>
      </c>
      <c r="D725" s="50" t="s">
        <v>23</v>
      </c>
      <c r="E725" s="52">
        <v>0.46</v>
      </c>
      <c r="F725" s="120"/>
      <c r="G725" s="120" t="str">
        <f>CONCATENATE(D725," - ",E725,", ")</f>
        <v>Brass scrap - 0.46, </v>
      </c>
      <c r="H725" s="339"/>
      <c r="I725" s="129" t="str">
        <f ca="1">IF(J724&gt;=3,(MID(I724,2,1)&amp;MID(I724,4,4)-K724),CELL("address",Z725))</f>
        <v>G726</v>
      </c>
      <c r="J725" s="129" t="str">
        <f ca="1">IF(J724&gt;=4,(MID(I725,1,1)&amp;MID(I725,2,4)+1),CELL("address",AA725))</f>
        <v>G727</v>
      </c>
      <c r="K725" s="129" t="str">
        <f ca="1">IF(J724&gt;=5,(MID(J725,1,1)&amp;MID(J725,2,4)+1),CELL("address",AB725))</f>
        <v>G728</v>
      </c>
      <c r="L725" s="129" t="str">
        <f ca="1">IF(J724&gt;=6,(MID(K725,1,1)&amp;MID(K725,2,4)+1),CELL("address",AC725))</f>
        <v>G729</v>
      </c>
      <c r="M725" s="129" t="str">
        <f ca="1">IF(J724&gt;=7,(MID(L725,1,1)&amp;MID(L725,2,4)+1),CELL("address",AD725))</f>
        <v>G730</v>
      </c>
      <c r="N725" s="129" t="str">
        <f ca="1">IF(J724&gt;=8,(MID(M725,1,1)&amp;MID(M725,2,4)+1),CELL("address",AE725))</f>
        <v>$AE$725</v>
      </c>
      <c r="O725" s="129" t="str">
        <f ca="1">IF(J724&gt;=9,(MID(N725,1,1)&amp;MID(N725,2,4)+1),CELL("address",AF725))</f>
        <v>$AF$725</v>
      </c>
      <c r="P725" s="129" t="str">
        <f ca="1">IF(J724&gt;=10,(MID(O725,1,1)&amp;MID(O725,2,4)+1),CELL("address",AG725))</f>
        <v>$AG$725</v>
      </c>
      <c r="Q725" s="129" t="str">
        <f ca="1">IF(J724&gt;=11,(MID(P725,1,1)&amp;MID(P725,2,4)+1),CELL("address",AH725))</f>
        <v>$AH$725</v>
      </c>
      <c r="R725" s="129" t="str">
        <f ca="1">IF(J724&gt;=12,(MID(Q725,1,1)&amp;MID(Q725,2,4)+1),CELL("address",AI725))</f>
        <v>$AI$725</v>
      </c>
    </row>
    <row r="726" spans="1:8" ht="15" customHeight="1">
      <c r="A726" s="303"/>
      <c r="B726" s="303"/>
      <c r="C726" s="315"/>
      <c r="D726" s="50" t="s">
        <v>31</v>
      </c>
      <c r="E726" s="90">
        <v>0.043</v>
      </c>
      <c r="F726" s="120"/>
      <c r="G726" s="120" t="str">
        <f>CONCATENATE(D726," - ",E726,", ")</f>
        <v>Misc. Alumn. Scrap - 0.043, </v>
      </c>
      <c r="H726" s="133"/>
    </row>
    <row r="727" spans="1:8" ht="15" customHeight="1">
      <c r="A727" s="303"/>
      <c r="B727" s="303"/>
      <c r="C727" s="315"/>
      <c r="D727" s="45" t="s">
        <v>37</v>
      </c>
      <c r="E727" s="164">
        <v>0.033</v>
      </c>
      <c r="F727" s="120"/>
      <c r="G727" s="120" t="str">
        <f>CONCATENATE(D727," - ",E727,", ")</f>
        <v>Burnt Cu scrap - 0.033, </v>
      </c>
      <c r="H727" s="133"/>
    </row>
    <row r="728" spans="1:8" ht="15" customHeight="1">
      <c r="A728" s="303"/>
      <c r="B728" s="303"/>
      <c r="C728" s="315"/>
      <c r="D728" s="45" t="s">
        <v>59</v>
      </c>
      <c r="E728" s="164">
        <v>0.52</v>
      </c>
      <c r="F728" s="120"/>
      <c r="G728" s="120" t="str">
        <f>CONCATENATE(D728," - ",E728,", ")</f>
        <v>Nuts &amp; Bolts scrap - 0.52, </v>
      </c>
      <c r="H728" s="133"/>
    </row>
    <row r="729" spans="1:8" ht="15" customHeight="1">
      <c r="A729" s="303"/>
      <c r="B729" s="303"/>
      <c r="C729" s="315"/>
      <c r="D729" s="45" t="s">
        <v>65</v>
      </c>
      <c r="E729" s="164">
        <v>0.076</v>
      </c>
      <c r="F729" s="120"/>
      <c r="G729" s="120" t="str">
        <f>CONCATENATE(D729," - ",E729,", ")</f>
        <v>Teen Patra scrap - 0.076, </v>
      </c>
      <c r="H729" s="133"/>
    </row>
    <row r="730" spans="1:8" ht="15" customHeight="1">
      <c r="A730" s="40"/>
      <c r="B730" s="1"/>
      <c r="C730" s="1"/>
      <c r="D730" s="1"/>
      <c r="E730" s="1"/>
      <c r="F730" s="120"/>
      <c r="G730" s="120"/>
      <c r="H730" s="133"/>
    </row>
    <row r="731" spans="1:8" ht="15" customHeight="1">
      <c r="A731" s="313"/>
      <c r="B731" s="314"/>
      <c r="C731" s="81"/>
      <c r="D731" s="81"/>
      <c r="E731" s="82">
        <f>SUM(E733:E734)</f>
        <v>0.89</v>
      </c>
      <c r="F731" s="120"/>
      <c r="G731" s="120"/>
      <c r="H731" s="133"/>
    </row>
    <row r="732" spans="1:18" ht="15" customHeight="1">
      <c r="A732" s="303" t="s">
        <v>5</v>
      </c>
      <c r="B732" s="303"/>
      <c r="C732" s="78" t="s">
        <v>17</v>
      </c>
      <c r="D732" s="79" t="s">
        <v>18</v>
      </c>
      <c r="E732" s="78" t="s">
        <v>7</v>
      </c>
      <c r="F732" s="120"/>
      <c r="G732" s="122" t="str">
        <f>CONCATENATE("Misc. Healthy parts/ Non Ferrous  Scrap, Lying at ",C733,". Quantity in MT - ")</f>
        <v>Misc. Healthy parts/ Non Ferrous  Scrap, Lying at TRY Patiala. Quantity in MT - </v>
      </c>
      <c r="H732" s="339" t="str">
        <f ca="1">CONCATENATE(G732,G733,(INDIRECT(I733)),(INDIRECT(J733)),(INDIRECT(K733)),(INDIRECT(L733)),(INDIRECT(M733)),(INDIRECT(N733)),(INDIRECT(O733)),(INDIRECT(P733)),(INDIRECT(Q733)),(INDIRECT(R733)),".")</f>
        <v>Misc. Healthy parts/ Non Ferrous  Scrap, Lying at TRY Patiala. Quantity in MT - Brass scrap - 0.846, Misc. Alumn. Scrap - 0.044, .</v>
      </c>
      <c r="I732" s="129" t="str">
        <f aca="true" ca="1" t="array" ref="I732">CELL("address",INDEX(G732:G754,MATCH(TRUE,ISBLANK(G732:G754),0)))</f>
        <v>$G$735</v>
      </c>
      <c r="J732" s="129">
        <f aca="true" t="array" ref="J732">MATCH(TRUE,ISBLANK(G732:G754),0)</f>
        <v>4</v>
      </c>
      <c r="K732" s="129">
        <f>J732-3</f>
        <v>1</v>
      </c>
      <c r="L732" s="129"/>
      <c r="M732" s="129"/>
      <c r="N732" s="129"/>
      <c r="O732" s="129"/>
      <c r="P732" s="129"/>
      <c r="Q732" s="129"/>
      <c r="R732" s="129"/>
    </row>
    <row r="733" spans="1:18" ht="15" customHeight="1">
      <c r="A733" s="303" t="s">
        <v>136</v>
      </c>
      <c r="B733" s="303"/>
      <c r="C733" s="315" t="s">
        <v>122</v>
      </c>
      <c r="D733" s="50" t="s">
        <v>23</v>
      </c>
      <c r="E733" s="52">
        <v>0.846</v>
      </c>
      <c r="F733" s="120"/>
      <c r="G733" s="120" t="str">
        <f>CONCATENATE(D733," - ",E733,", ")</f>
        <v>Brass scrap - 0.846, </v>
      </c>
      <c r="H733" s="339"/>
      <c r="I733" s="129" t="str">
        <f ca="1">IF(J732&gt;=3,(MID(I732,2,1)&amp;MID(I732,4,4)-K732),CELL("address",Z733))</f>
        <v>G734</v>
      </c>
      <c r="J733" s="129" t="str">
        <f ca="1">IF(J732&gt;=4,(MID(I733,1,1)&amp;MID(I733,2,4)+1),CELL("address",AA733))</f>
        <v>G735</v>
      </c>
      <c r="K733" s="129" t="str">
        <f ca="1">IF(J732&gt;=5,(MID(J733,1,1)&amp;MID(J733,2,4)+1),CELL("address",AB733))</f>
        <v>$AB$733</v>
      </c>
      <c r="L733" s="129" t="str">
        <f ca="1">IF(J732&gt;=6,(MID(K733,1,1)&amp;MID(K733,2,4)+1),CELL("address",AC733))</f>
        <v>$AC$733</v>
      </c>
      <c r="M733" s="129" t="str">
        <f ca="1">IF(J732&gt;=7,(MID(L733,1,1)&amp;MID(L733,2,4)+1),CELL("address",AD733))</f>
        <v>$AD$733</v>
      </c>
      <c r="N733" s="129" t="str">
        <f ca="1">IF(J732&gt;=8,(MID(M733,1,1)&amp;MID(M733,2,4)+1),CELL("address",AE733))</f>
        <v>$AE$733</v>
      </c>
      <c r="O733" s="129" t="str">
        <f ca="1">IF(J732&gt;=9,(MID(N733,1,1)&amp;MID(N733,2,4)+1),CELL("address",AF733))</f>
        <v>$AF$733</v>
      </c>
      <c r="P733" s="129" t="str">
        <f ca="1">IF(J732&gt;=10,(MID(O733,1,1)&amp;MID(O733,2,4)+1),CELL("address",AG733))</f>
        <v>$AG$733</v>
      </c>
      <c r="Q733" s="129" t="str">
        <f ca="1">IF(J732&gt;=11,(MID(P733,1,1)&amp;MID(P733,2,4)+1),CELL("address",AH733))</f>
        <v>$AH$733</v>
      </c>
      <c r="R733" s="129" t="str">
        <f ca="1">IF(J732&gt;=12,(MID(Q733,1,1)&amp;MID(Q733,2,4)+1),CELL("address",AI733))</f>
        <v>$AI$733</v>
      </c>
    </row>
    <row r="734" spans="1:8" ht="15" customHeight="1">
      <c r="A734" s="303"/>
      <c r="B734" s="303"/>
      <c r="C734" s="315"/>
      <c r="D734" s="50" t="s">
        <v>31</v>
      </c>
      <c r="E734" s="78">
        <v>0.044</v>
      </c>
      <c r="F734" s="120"/>
      <c r="G734" s="120" t="str">
        <f>CONCATENATE(D734," - ",E734,", ")</f>
        <v>Misc. Alumn. Scrap - 0.044, </v>
      </c>
      <c r="H734" s="133"/>
    </row>
    <row r="735" spans="1:8" ht="15" customHeight="1">
      <c r="A735" s="57"/>
      <c r="B735" s="60"/>
      <c r="C735" s="22"/>
      <c r="D735" s="106"/>
      <c r="E735" s="107"/>
      <c r="F735" s="120"/>
      <c r="G735" s="120"/>
      <c r="H735" s="133"/>
    </row>
    <row r="736" spans="1:8" ht="15" customHeight="1">
      <c r="A736" s="313"/>
      <c r="B736" s="314"/>
      <c r="C736" s="81"/>
      <c r="D736" s="81"/>
      <c r="E736" s="82">
        <f>SUM(E738:E739)</f>
        <v>0.027</v>
      </c>
      <c r="F736" s="120"/>
      <c r="G736" s="120"/>
      <c r="H736" s="133"/>
    </row>
    <row r="737" spans="1:18" ht="15" customHeight="1">
      <c r="A737" s="303" t="s">
        <v>5</v>
      </c>
      <c r="B737" s="303"/>
      <c r="C737" s="78" t="s">
        <v>17</v>
      </c>
      <c r="D737" s="79" t="s">
        <v>18</v>
      </c>
      <c r="E737" s="78" t="s">
        <v>7</v>
      </c>
      <c r="F737" s="120"/>
      <c r="G737" s="122" t="str">
        <f>CONCATENATE("Misc. Healthy parts/ Non Ferrous  Scrap, Lying at ",C738,". Quantity in MT - ")</f>
        <v>Misc. Healthy parts/ Non Ferrous  Scrap, Lying at CS Sangrur. Quantity in MT - </v>
      </c>
      <c r="H737" s="170" t="str">
        <f ca="1">CONCATENATE(G737,G738,(INDIRECT(I738)),(INDIRECT(J738)),(INDIRECT(K738)),(INDIRECT(L738)),(INDIRECT(M738)),(INDIRECT(N738)),(INDIRECT(O738)),(INDIRECT(P738)),(INDIRECT(Q738)),(INDIRECT(R738)),".")</f>
        <v>Misc. Healthy parts/ Non Ferrous  Scrap, Lying at CS Sangrur. Quantity in MT - Misc. copper scrap - 0.022, Misc. Alumn. Scrap - 0.005, .</v>
      </c>
      <c r="I737" s="129" t="str">
        <f aca="true" ca="1" t="array" ref="I737">CELL("address",INDEX(G737:G759,MATCH(TRUE,ISBLANK(G737:G759),0)))</f>
        <v>$G$740</v>
      </c>
      <c r="J737" s="129">
        <f aca="true" t="array" ref="J737">MATCH(TRUE,ISBLANK(G737:G759),0)</f>
        <v>4</v>
      </c>
      <c r="K737" s="129">
        <f>J737-3</f>
        <v>1</v>
      </c>
      <c r="L737" s="129"/>
      <c r="M737" s="129"/>
      <c r="N737" s="129"/>
      <c r="O737" s="129"/>
      <c r="P737" s="129"/>
      <c r="Q737" s="129"/>
      <c r="R737" s="129"/>
    </row>
    <row r="738" spans="1:18" ht="15" customHeight="1">
      <c r="A738" s="316" t="s">
        <v>143</v>
      </c>
      <c r="B738" s="317"/>
      <c r="C738" s="322" t="s">
        <v>80</v>
      </c>
      <c r="D738" s="73" t="s">
        <v>113</v>
      </c>
      <c r="E738" s="52">
        <v>0.022</v>
      </c>
      <c r="F738" s="120"/>
      <c r="G738" s="120" t="str">
        <f>CONCATENATE(D738," - ",E738,", ")</f>
        <v>Misc. copper scrap - 0.022, </v>
      </c>
      <c r="H738" s="170"/>
      <c r="I738" s="129" t="str">
        <f ca="1">IF(J737&gt;=3,(MID(I737,2,1)&amp;MID(I737,4,4)-K737),CELL("address",Z738))</f>
        <v>G739</v>
      </c>
      <c r="J738" s="129" t="str">
        <f ca="1">IF(J737&gt;=4,(MID(I738,1,1)&amp;MID(I738,2,4)+1),CELL("address",AA738))</f>
        <v>G740</v>
      </c>
      <c r="K738" s="129" t="str">
        <f ca="1">IF(J737&gt;=5,(MID(J738,1,1)&amp;MID(J738,2,4)+1),CELL("address",AB738))</f>
        <v>$AB$738</v>
      </c>
      <c r="L738" s="129" t="str">
        <f ca="1">IF(J737&gt;=6,(MID(K738,1,1)&amp;MID(K738,2,4)+1),CELL("address",AC738))</f>
        <v>$AC$738</v>
      </c>
      <c r="M738" s="129" t="str">
        <f ca="1">IF(J737&gt;=7,(MID(L738,1,1)&amp;MID(L738,2,4)+1),CELL("address",AD738))</f>
        <v>$AD$738</v>
      </c>
      <c r="N738" s="129" t="str">
        <f ca="1">IF(J737&gt;=8,(MID(M738,1,1)&amp;MID(M738,2,4)+1),CELL("address",AE738))</f>
        <v>$AE$738</v>
      </c>
      <c r="O738" s="129" t="str">
        <f ca="1">IF(J737&gt;=9,(MID(N738,1,1)&amp;MID(N738,2,4)+1),CELL("address",AF738))</f>
        <v>$AF$738</v>
      </c>
      <c r="P738" s="129" t="str">
        <f ca="1">IF(J737&gt;=10,(MID(O738,1,1)&amp;MID(O738,2,4)+1),CELL("address",AG738))</f>
        <v>$AG$738</v>
      </c>
      <c r="Q738" s="129" t="str">
        <f ca="1">IF(J737&gt;=11,(MID(P738,1,1)&amp;MID(P738,2,4)+1),CELL("address",AH738))</f>
        <v>$AH$738</v>
      </c>
      <c r="R738" s="129" t="str">
        <f ca="1">IF(J737&gt;=12,(MID(Q738,1,1)&amp;MID(Q738,2,4)+1),CELL("address",AI738))</f>
        <v>$AI$738</v>
      </c>
    </row>
    <row r="739" spans="1:8" ht="15" customHeight="1">
      <c r="A739" s="320"/>
      <c r="B739" s="321"/>
      <c r="C739" s="324"/>
      <c r="D739" s="50" t="s">
        <v>31</v>
      </c>
      <c r="E739" s="52">
        <v>0.005</v>
      </c>
      <c r="F739" s="120"/>
      <c r="G739" s="120" t="str">
        <f>CONCATENATE(D739," - ",E739,", ")</f>
        <v>Misc. Alumn. Scrap - 0.005, </v>
      </c>
      <c r="H739" s="133"/>
    </row>
    <row r="740" spans="1:8" ht="15" customHeight="1">
      <c r="A740" s="57"/>
      <c r="B740" s="60"/>
      <c r="C740" s="22"/>
      <c r="D740" s="121"/>
      <c r="E740" s="109"/>
      <c r="F740" s="120"/>
      <c r="G740" s="120"/>
      <c r="H740" s="133"/>
    </row>
    <row r="741" spans="1:8" ht="15" customHeight="1">
      <c r="A741" s="313"/>
      <c r="B741" s="314"/>
      <c r="C741" s="81"/>
      <c r="D741" s="81"/>
      <c r="E741" s="82">
        <f>SUM(E743:E743)</f>
        <v>0.011</v>
      </c>
      <c r="F741" s="120"/>
      <c r="G741" s="120"/>
      <c r="H741" s="133"/>
    </row>
    <row r="742" spans="1:18" ht="15" customHeight="1">
      <c r="A742" s="303" t="s">
        <v>5</v>
      </c>
      <c r="B742" s="303"/>
      <c r="C742" s="78" t="s">
        <v>17</v>
      </c>
      <c r="D742" s="79" t="s">
        <v>18</v>
      </c>
      <c r="E742" s="78" t="s">
        <v>7</v>
      </c>
      <c r="F742" s="120"/>
      <c r="G742" s="122" t="str">
        <f>CONCATENATE("Misc. Healthy parts/ Non Ferrous  Scrap, Lying at ",C743,". Quantity in MT - ")</f>
        <v>Misc. Healthy parts/ Non Ferrous  Scrap, Lying at CS Malout. Quantity in MT - </v>
      </c>
      <c r="H742" s="170" t="str">
        <f ca="1">CONCATENATE(G742,G743,(INDIRECT(I743)),(INDIRECT(J743)),(INDIRECT(K743)),(INDIRECT(L743)),(INDIRECT(M743)),(INDIRECT(N743)),(INDIRECT(O743)),(INDIRECT(P743)),(INDIRECT(Q743)),(INDIRECT(R743)),".")</f>
        <v>Misc. Healthy parts/ Non Ferrous  Scrap, Lying at CS Malout. Quantity in MT - Brass scrap - 0.011, .</v>
      </c>
      <c r="I742" s="129" t="str">
        <f aca="true" ca="1" t="array" ref="I742">CELL("address",INDEX(G742:G764,MATCH(TRUE,ISBLANK(G742:G764),0)))</f>
        <v>$G$744</v>
      </c>
      <c r="J742" s="129">
        <f aca="true" t="array" ref="J742">MATCH(TRUE,ISBLANK(G742:G764),0)</f>
        <v>3</v>
      </c>
      <c r="K742" s="129">
        <f>J742-3</f>
        <v>0</v>
      </c>
      <c r="L742" s="129"/>
      <c r="M742" s="129"/>
      <c r="N742" s="129"/>
      <c r="O742" s="129"/>
      <c r="P742" s="129"/>
      <c r="Q742" s="129"/>
      <c r="R742" s="129"/>
    </row>
    <row r="743" spans="1:18" ht="15" customHeight="1">
      <c r="A743" s="303" t="s">
        <v>200</v>
      </c>
      <c r="B743" s="303"/>
      <c r="C743" s="228" t="s">
        <v>96</v>
      </c>
      <c r="D743" s="50" t="s">
        <v>23</v>
      </c>
      <c r="E743" s="52">
        <v>0.011</v>
      </c>
      <c r="F743" s="120"/>
      <c r="G743" s="120" t="str">
        <f>CONCATENATE(D743," - ",E743,", ")</f>
        <v>Brass scrap - 0.011, </v>
      </c>
      <c r="H743" s="170"/>
      <c r="I743" s="129" t="str">
        <f ca="1">IF(J742&gt;=3,(MID(I742,2,1)&amp;MID(I742,4,4)-K742),CELL("address",Z743))</f>
        <v>G744</v>
      </c>
      <c r="J743" s="129" t="str">
        <f ca="1">IF(J742&gt;=4,(MID(I743,1,1)&amp;MID(I743,2,4)+1),CELL("address",AA743))</f>
        <v>$AA$743</v>
      </c>
      <c r="K743" s="129" t="str">
        <f ca="1">IF(J742&gt;=5,(MID(J743,1,1)&amp;MID(J743,2,4)+1),CELL("address",AB743))</f>
        <v>$AB$743</v>
      </c>
      <c r="L743" s="129" t="str">
        <f ca="1">IF(J742&gt;=6,(MID(K743,1,1)&amp;MID(K743,2,4)+1),CELL("address",AC743))</f>
        <v>$AC$743</v>
      </c>
      <c r="M743" s="129" t="str">
        <f ca="1">IF(J742&gt;=7,(MID(L743,1,1)&amp;MID(L743,2,4)+1),CELL("address",AD743))</f>
        <v>$AD$743</v>
      </c>
      <c r="N743" s="129" t="str">
        <f ca="1">IF(J742&gt;=8,(MID(M743,1,1)&amp;MID(M743,2,4)+1),CELL("address",AE743))</f>
        <v>$AE$743</v>
      </c>
      <c r="O743" s="129" t="str">
        <f ca="1">IF(J742&gt;=9,(MID(N743,1,1)&amp;MID(N743,2,4)+1),CELL("address",AF743))</f>
        <v>$AF$743</v>
      </c>
      <c r="P743" s="129" t="str">
        <f ca="1">IF(J742&gt;=10,(MID(O743,1,1)&amp;MID(O743,2,4)+1),CELL("address",AG743))</f>
        <v>$AG$743</v>
      </c>
      <c r="Q743" s="129" t="str">
        <f ca="1">IF(J742&gt;=11,(MID(P743,1,1)&amp;MID(P743,2,4)+1),CELL("address",AH743))</f>
        <v>$AH$743</v>
      </c>
      <c r="R743" s="129" t="str">
        <f ca="1">IF(J742&gt;=12,(MID(Q743,1,1)&amp;MID(Q743,2,4)+1),CELL("address",AI743))</f>
        <v>$AI$743</v>
      </c>
    </row>
    <row r="744" spans="1:8" ht="15" customHeight="1">
      <c r="A744" s="337"/>
      <c r="B744" s="338"/>
      <c r="C744" s="120"/>
      <c r="D744" s="120"/>
      <c r="E744" s="120"/>
      <c r="F744" s="120"/>
      <c r="G744" s="120"/>
      <c r="H744" s="133"/>
    </row>
    <row r="745" spans="1:8" ht="15" customHeight="1">
      <c r="A745" s="313"/>
      <c r="B745" s="314"/>
      <c r="C745" s="81"/>
      <c r="D745" s="81"/>
      <c r="E745" s="82">
        <f>SUM(E747:E747)</f>
        <v>1</v>
      </c>
      <c r="F745" s="120"/>
      <c r="G745" s="120"/>
      <c r="H745" s="133"/>
    </row>
    <row r="746" spans="1:18" ht="15" customHeight="1">
      <c r="A746" s="303" t="s">
        <v>5</v>
      </c>
      <c r="B746" s="303"/>
      <c r="C746" s="78" t="s">
        <v>17</v>
      </c>
      <c r="D746" s="79" t="s">
        <v>18</v>
      </c>
      <c r="E746" s="78" t="s">
        <v>7</v>
      </c>
      <c r="F746" s="120"/>
      <c r="G746" s="122" t="str">
        <f>CONCATENATE("Misc. Healthy parts/ Non Ferrous  Scrap, Lying at ",C747,". Quantity in MT - ")</f>
        <v>Misc. Healthy parts/ Non Ferrous  Scrap, Lying at TRY Bathinda. Quantity in MT - </v>
      </c>
      <c r="H746" s="170" t="str">
        <f ca="1">CONCATENATE(G746,G747,(INDIRECT(I747)),(INDIRECT(J747)),(INDIRECT(K747)),(INDIRECT(L747)),(INDIRECT(M747)),(INDIRECT(N747)),(INDIRECT(O747)),(INDIRECT(P747)),(INDIRECT(Q747)),(INDIRECT(R747)),".")</f>
        <v>Misc. Healthy parts/ Non Ferrous  Scrap, Lying at TRY Bathinda. Quantity in MT - Brass scrap - 1, .</v>
      </c>
      <c r="I746" s="129" t="str">
        <f aca="true" ca="1" t="array" ref="I746">CELL("address",INDEX(G746:G768,MATCH(TRUE,ISBLANK(G746:G768),0)))</f>
        <v>$G$748</v>
      </c>
      <c r="J746" s="129">
        <f aca="true" t="array" ref="J746">MATCH(TRUE,ISBLANK(G746:G768),0)</f>
        <v>3</v>
      </c>
      <c r="K746" s="129">
        <f>J746-3</f>
        <v>0</v>
      </c>
      <c r="L746" s="129"/>
      <c r="M746" s="129"/>
      <c r="N746" s="129"/>
      <c r="O746" s="129"/>
      <c r="P746" s="129"/>
      <c r="Q746" s="129"/>
      <c r="R746" s="129"/>
    </row>
    <row r="747" spans="1:18" ht="15" customHeight="1">
      <c r="A747" s="303" t="s">
        <v>207</v>
      </c>
      <c r="B747" s="303"/>
      <c r="C747" s="228" t="s">
        <v>36</v>
      </c>
      <c r="D747" s="45" t="s">
        <v>23</v>
      </c>
      <c r="E747" s="51">
        <v>1</v>
      </c>
      <c r="F747" s="120"/>
      <c r="G747" s="120" t="str">
        <f>CONCATENATE(D747," - ",E747,", ")</f>
        <v>Brass scrap - 1, </v>
      </c>
      <c r="H747" s="170"/>
      <c r="I747" s="129" t="str">
        <f ca="1">IF(J746&gt;=3,(MID(I746,2,1)&amp;MID(I746,4,4)-K746),CELL("address",Z747))</f>
        <v>G748</v>
      </c>
      <c r="J747" s="129" t="str">
        <f ca="1">IF(J746&gt;=4,(MID(I747,1,1)&amp;MID(I747,2,4)+1),CELL("address",AA747))</f>
        <v>$AA$747</v>
      </c>
      <c r="K747" s="129" t="str">
        <f ca="1">IF(J746&gt;=5,(MID(J747,1,1)&amp;MID(J747,2,4)+1),CELL("address",AB747))</f>
        <v>$AB$747</v>
      </c>
      <c r="L747" s="129" t="str">
        <f ca="1">IF(J746&gt;=6,(MID(K747,1,1)&amp;MID(K747,2,4)+1),CELL("address",AC747))</f>
        <v>$AC$747</v>
      </c>
      <c r="M747" s="129" t="str">
        <f ca="1">IF(J746&gt;=7,(MID(L747,1,1)&amp;MID(L747,2,4)+1),CELL("address",AD747))</f>
        <v>$AD$747</v>
      </c>
      <c r="N747" s="129" t="str">
        <f ca="1">IF(J746&gt;=8,(MID(M747,1,1)&amp;MID(M747,2,4)+1),CELL("address",AE747))</f>
        <v>$AE$747</v>
      </c>
      <c r="O747" s="129" t="str">
        <f ca="1">IF(J746&gt;=9,(MID(N747,1,1)&amp;MID(N747,2,4)+1),CELL("address",AF747))</f>
        <v>$AF$747</v>
      </c>
      <c r="P747" s="129" t="str">
        <f ca="1">IF(J746&gt;=10,(MID(O747,1,1)&amp;MID(O747,2,4)+1),CELL("address",AG747))</f>
        <v>$AG$747</v>
      </c>
      <c r="Q747" s="129" t="str">
        <f ca="1">IF(J746&gt;=11,(MID(P747,1,1)&amp;MID(P747,2,4)+1),CELL("address",AH747))</f>
        <v>$AH$747</v>
      </c>
      <c r="R747" s="129" t="str">
        <f ca="1">IF(J746&gt;=12,(MID(Q747,1,1)&amp;MID(Q747,2,4)+1),CELL("address",AI747))</f>
        <v>$AI$747</v>
      </c>
    </row>
    <row r="748" spans="1:8" ht="15" customHeight="1">
      <c r="A748" s="337"/>
      <c r="B748" s="338"/>
      <c r="C748" s="120"/>
      <c r="D748" s="120"/>
      <c r="E748" s="120"/>
      <c r="F748" s="120"/>
      <c r="G748" s="120"/>
      <c r="H748" s="133"/>
    </row>
    <row r="749" spans="1:8" ht="15" customHeight="1">
      <c r="A749" s="313"/>
      <c r="B749" s="314"/>
      <c r="C749" s="81"/>
      <c r="D749" s="81"/>
      <c r="E749" s="82">
        <f>SUM(E751:E751)</f>
        <v>1</v>
      </c>
      <c r="F749" s="120"/>
      <c r="G749" s="120"/>
      <c r="H749" s="133"/>
    </row>
    <row r="750" spans="1:18" ht="15" customHeight="1">
      <c r="A750" s="303" t="s">
        <v>5</v>
      </c>
      <c r="B750" s="303"/>
      <c r="C750" s="78" t="s">
        <v>17</v>
      </c>
      <c r="D750" s="79" t="s">
        <v>18</v>
      </c>
      <c r="E750" s="78" t="s">
        <v>7</v>
      </c>
      <c r="F750" s="120"/>
      <c r="G750" s="122" t="str">
        <f>CONCATENATE("Misc. Healthy parts/ Non Ferrous  Scrap, Lying at ",C751,". Quantity in MT - ")</f>
        <v>Misc. Healthy parts/ Non Ferrous  Scrap, Lying at TRY Bathinda. Quantity in MT - </v>
      </c>
      <c r="H750" s="170" t="str">
        <f ca="1">CONCATENATE(G750,G751,(INDIRECT(I751)),(INDIRECT(J751)),(INDIRECT(K751)),(INDIRECT(L751)),(INDIRECT(M751)),(INDIRECT(N751)),(INDIRECT(O751)),(INDIRECT(P751)),(INDIRECT(Q751)),(INDIRECT(R751)),".")</f>
        <v>Misc. Healthy parts/ Non Ferrous  Scrap, Lying at TRY Bathinda. Quantity in MT - Brass scrap - 1, .</v>
      </c>
      <c r="I750" s="129" t="str">
        <f aca="true" ca="1" t="array" ref="I750">CELL("address",INDEX(G750:G772,MATCH(TRUE,ISBLANK(G750:G772),0)))</f>
        <v>$G$752</v>
      </c>
      <c r="J750" s="129">
        <f aca="true" t="array" ref="J750">MATCH(TRUE,ISBLANK(G750:G772),0)</f>
        <v>3</v>
      </c>
      <c r="K750" s="129">
        <f>J750-3</f>
        <v>0</v>
      </c>
      <c r="L750" s="129"/>
      <c r="M750" s="129"/>
      <c r="N750" s="129"/>
      <c r="O750" s="129"/>
      <c r="P750" s="129"/>
      <c r="Q750" s="129"/>
      <c r="R750" s="129"/>
    </row>
    <row r="751" spans="1:18" ht="15" customHeight="1">
      <c r="A751" s="303" t="s">
        <v>214</v>
      </c>
      <c r="B751" s="303"/>
      <c r="C751" s="228" t="s">
        <v>36</v>
      </c>
      <c r="D751" s="45" t="s">
        <v>23</v>
      </c>
      <c r="E751" s="51">
        <v>1</v>
      </c>
      <c r="F751" s="120"/>
      <c r="G751" s="120" t="str">
        <f>CONCATENATE(D751," - ",E751,", ")</f>
        <v>Brass scrap - 1, </v>
      </c>
      <c r="H751" s="170"/>
      <c r="I751" s="129" t="str">
        <f ca="1">IF(J750&gt;=3,(MID(I750,2,1)&amp;MID(I750,4,4)-K750),CELL("address",Z751))</f>
        <v>G752</v>
      </c>
      <c r="J751" s="129" t="str">
        <f ca="1">IF(J750&gt;=4,(MID(I751,1,1)&amp;MID(I751,2,4)+1),CELL("address",AA751))</f>
        <v>$AA$751</v>
      </c>
      <c r="K751" s="129" t="str">
        <f ca="1">IF(J750&gt;=5,(MID(J751,1,1)&amp;MID(J751,2,4)+1),CELL("address",AB751))</f>
        <v>$AB$751</v>
      </c>
      <c r="L751" s="129" t="str">
        <f ca="1">IF(J750&gt;=6,(MID(K751,1,1)&amp;MID(K751,2,4)+1),CELL("address",AC751))</f>
        <v>$AC$751</v>
      </c>
      <c r="M751" s="129" t="str">
        <f ca="1">IF(J750&gt;=7,(MID(L751,1,1)&amp;MID(L751,2,4)+1),CELL("address",AD751))</f>
        <v>$AD$751</v>
      </c>
      <c r="N751" s="129" t="str">
        <f ca="1">IF(J750&gt;=8,(MID(M751,1,1)&amp;MID(M751,2,4)+1),CELL("address",AE751))</f>
        <v>$AE$751</v>
      </c>
      <c r="O751" s="129" t="str">
        <f ca="1">IF(J750&gt;=9,(MID(N751,1,1)&amp;MID(N751,2,4)+1),CELL("address",AF751))</f>
        <v>$AF$751</v>
      </c>
      <c r="P751" s="129" t="str">
        <f ca="1">IF(J750&gt;=10,(MID(O751,1,1)&amp;MID(O751,2,4)+1),CELL("address",AG751))</f>
        <v>$AG$751</v>
      </c>
      <c r="Q751" s="129" t="str">
        <f ca="1">IF(J750&gt;=11,(MID(P751,1,1)&amp;MID(P751,2,4)+1),CELL("address",AH751))</f>
        <v>$AH$751</v>
      </c>
      <c r="R751" s="129" t="str">
        <f ca="1">IF(J750&gt;=12,(MID(Q751,1,1)&amp;MID(Q751,2,4)+1),CELL("address",AI751))</f>
        <v>$AI$751</v>
      </c>
    </row>
    <row r="752" spans="1:8" ht="15" customHeight="1">
      <c r="A752" s="337"/>
      <c r="B752" s="338"/>
      <c r="C752" s="120"/>
      <c r="D752" s="120"/>
      <c r="E752" s="120"/>
      <c r="F752" s="120"/>
      <c r="G752" s="120"/>
      <c r="H752" s="133"/>
    </row>
    <row r="753" spans="1:8" ht="15" customHeight="1">
      <c r="A753" s="313"/>
      <c r="B753" s="314"/>
      <c r="C753" s="81"/>
      <c r="D753" s="81"/>
      <c r="E753" s="82">
        <f>SUM(E755:E755)</f>
        <v>1</v>
      </c>
      <c r="F753" s="120"/>
      <c r="G753" s="120"/>
      <c r="H753" s="133"/>
    </row>
    <row r="754" spans="1:18" ht="15" customHeight="1">
      <c r="A754" s="303" t="s">
        <v>5</v>
      </c>
      <c r="B754" s="303"/>
      <c r="C754" s="78" t="s">
        <v>17</v>
      </c>
      <c r="D754" s="79" t="s">
        <v>18</v>
      </c>
      <c r="E754" s="78" t="s">
        <v>7</v>
      </c>
      <c r="F754" s="120"/>
      <c r="G754" s="122" t="str">
        <f>CONCATENATE("Misc. Healthy parts/ Non Ferrous  Scrap, Lying at ",C755,". Quantity in MT - ")</f>
        <v>Misc. Healthy parts/ Non Ferrous  Scrap, Lying at TRY Bathinda. Quantity in MT - </v>
      </c>
      <c r="H754" s="170" t="str">
        <f ca="1">CONCATENATE(G754,G755,(INDIRECT(I755)),(INDIRECT(J755)),(INDIRECT(K755)),(INDIRECT(L755)),(INDIRECT(M755)),(INDIRECT(N755)),(INDIRECT(O755)),(INDIRECT(P755)),(INDIRECT(Q755)),(INDIRECT(R755)),".")</f>
        <v>Misc. Healthy parts/ Non Ferrous  Scrap, Lying at TRY Bathinda. Quantity in MT - Brass scrap - 1, .</v>
      </c>
      <c r="I754" s="129" t="str">
        <f aca="true" ca="1" t="array" ref="I754">CELL("address",INDEX(G754:G776,MATCH(TRUE,ISBLANK(G754:G776),0)))</f>
        <v>$G$756</v>
      </c>
      <c r="J754" s="129">
        <f aca="true" t="array" ref="J754">MATCH(TRUE,ISBLANK(G754:G776),0)</f>
        <v>3</v>
      </c>
      <c r="K754" s="129">
        <f>J754-3</f>
        <v>0</v>
      </c>
      <c r="L754" s="129"/>
      <c r="M754" s="129"/>
      <c r="N754" s="129"/>
      <c r="O754" s="129"/>
      <c r="P754" s="129"/>
      <c r="Q754" s="129"/>
      <c r="R754" s="129"/>
    </row>
    <row r="755" spans="1:18" ht="15" customHeight="1">
      <c r="A755" s="303" t="s">
        <v>240</v>
      </c>
      <c r="B755" s="303"/>
      <c r="C755" s="228" t="s">
        <v>36</v>
      </c>
      <c r="D755" s="45" t="s">
        <v>23</v>
      </c>
      <c r="E755" s="51">
        <v>1</v>
      </c>
      <c r="F755" s="120"/>
      <c r="G755" s="120" t="str">
        <f>CONCATENATE(D755," - ",E755,", ")</f>
        <v>Brass scrap - 1, </v>
      </c>
      <c r="H755" s="170"/>
      <c r="I755" s="129" t="str">
        <f ca="1">IF(J754&gt;=3,(MID(I754,2,1)&amp;MID(I754,4,4)-K754),CELL("address",Z755))</f>
        <v>G756</v>
      </c>
      <c r="J755" s="129" t="str">
        <f ca="1">IF(J754&gt;=4,(MID(I755,1,1)&amp;MID(I755,2,4)+1),CELL("address",AA755))</f>
        <v>$AA$755</v>
      </c>
      <c r="K755" s="129" t="str">
        <f ca="1">IF(J754&gt;=5,(MID(J755,1,1)&amp;MID(J755,2,4)+1),CELL("address",AB755))</f>
        <v>$AB$755</v>
      </c>
      <c r="L755" s="129" t="str">
        <f ca="1">IF(J754&gt;=6,(MID(K755,1,1)&amp;MID(K755,2,4)+1),CELL("address",AC755))</f>
        <v>$AC$755</v>
      </c>
      <c r="M755" s="129" t="str">
        <f ca="1">IF(J754&gt;=7,(MID(L755,1,1)&amp;MID(L755,2,4)+1),CELL("address",AD755))</f>
        <v>$AD$755</v>
      </c>
      <c r="N755" s="129" t="str">
        <f ca="1">IF(J754&gt;=8,(MID(M755,1,1)&amp;MID(M755,2,4)+1),CELL("address",AE755))</f>
        <v>$AE$755</v>
      </c>
      <c r="O755" s="129" t="str">
        <f ca="1">IF(J754&gt;=9,(MID(N755,1,1)&amp;MID(N755,2,4)+1),CELL("address",AF755))</f>
        <v>$AF$755</v>
      </c>
      <c r="P755" s="129" t="str">
        <f ca="1">IF(J754&gt;=10,(MID(O755,1,1)&amp;MID(O755,2,4)+1),CELL("address",AG755))</f>
        <v>$AG$755</v>
      </c>
      <c r="Q755" s="129" t="str">
        <f ca="1">IF(J754&gt;=11,(MID(P755,1,1)&amp;MID(P755,2,4)+1),CELL("address",AH755))</f>
        <v>$AH$755</v>
      </c>
      <c r="R755" s="129" t="str">
        <f ca="1">IF(J754&gt;=12,(MID(Q755,1,1)&amp;MID(Q755,2,4)+1),CELL("address",AI755))</f>
        <v>$AI$755</v>
      </c>
    </row>
    <row r="756" spans="1:8" ht="15" customHeight="1">
      <c r="A756" s="337"/>
      <c r="B756" s="338"/>
      <c r="C756" s="120"/>
      <c r="D756" s="120"/>
      <c r="E756" s="120"/>
      <c r="F756" s="120"/>
      <c r="G756" s="120"/>
      <c r="H756" s="133"/>
    </row>
    <row r="757" spans="1:8" ht="15" customHeight="1">
      <c r="A757" s="313"/>
      <c r="B757" s="314"/>
      <c r="C757" s="81"/>
      <c r="D757" s="81"/>
      <c r="E757" s="82">
        <f>SUM(E759:E759)</f>
        <v>1</v>
      </c>
      <c r="F757" s="336"/>
      <c r="G757" s="336"/>
      <c r="H757" s="133"/>
    </row>
    <row r="758" spans="1:18" ht="15" customHeight="1">
      <c r="A758" s="303" t="s">
        <v>5</v>
      </c>
      <c r="B758" s="303"/>
      <c r="C758" s="78" t="s">
        <v>17</v>
      </c>
      <c r="D758" s="79" t="s">
        <v>18</v>
      </c>
      <c r="E758" s="78" t="s">
        <v>7</v>
      </c>
      <c r="F758" s="120"/>
      <c r="G758" s="122" t="str">
        <f>CONCATENATE("Misc. Healthy parts/ Non Ferrous  Scrap, Lying at ",C759,". Quantity in MT - ")</f>
        <v>Misc. Healthy parts/ Non Ferrous  Scrap, Lying at TRY Bathinda. Quantity in MT - </v>
      </c>
      <c r="H758" s="170" t="str">
        <f ca="1">CONCATENATE(G758,G759,(INDIRECT(I759)),(INDIRECT(J759)),(INDIRECT(K759)),(INDIRECT(L759)),(INDIRECT(M759)),(INDIRECT(N759)),(INDIRECT(O759)),(INDIRECT(P759)),(INDIRECT(Q759)),(INDIRECT(R759)),".")</f>
        <v>Misc. Healthy parts/ Non Ferrous  Scrap, Lying at TRY Bathinda. Quantity in MT - Brass scrap - 1, .</v>
      </c>
      <c r="I758" s="129" t="str">
        <f aca="true" ca="1" t="array" ref="I758">CELL("address",INDEX(G758:G780,MATCH(TRUE,ISBLANK(G758:G780),0)))</f>
        <v>$G$760</v>
      </c>
      <c r="J758" s="129">
        <f aca="true" t="array" ref="J758">MATCH(TRUE,ISBLANK(G758:G780),0)</f>
        <v>3</v>
      </c>
      <c r="K758" s="129">
        <f>J758-3</f>
        <v>0</v>
      </c>
      <c r="L758" s="129"/>
      <c r="M758" s="129"/>
      <c r="N758" s="129"/>
      <c r="O758" s="129"/>
      <c r="P758" s="129"/>
      <c r="Q758" s="129"/>
      <c r="R758" s="129"/>
    </row>
    <row r="759" spans="1:18" ht="15" customHeight="1">
      <c r="A759" s="303" t="s">
        <v>198</v>
      </c>
      <c r="B759" s="303"/>
      <c r="C759" s="228" t="s">
        <v>36</v>
      </c>
      <c r="D759" s="45" t="s">
        <v>23</v>
      </c>
      <c r="E759" s="51">
        <v>1</v>
      </c>
      <c r="F759" s="120"/>
      <c r="G759" s="120" t="str">
        <f>CONCATENATE(D759," - ",E759,", ")</f>
        <v>Brass scrap - 1, </v>
      </c>
      <c r="H759" s="170"/>
      <c r="I759" s="129" t="str">
        <f ca="1">IF(J758&gt;=3,(MID(I758,2,1)&amp;MID(I758,4,4)-K758),CELL("address",Z759))</f>
        <v>G760</v>
      </c>
      <c r="J759" s="129" t="str">
        <f ca="1">IF(J758&gt;=4,(MID(I759,1,1)&amp;MID(I759,2,4)+1),CELL("address",AA759))</f>
        <v>$AA$759</v>
      </c>
      <c r="K759" s="129" t="str">
        <f ca="1">IF(J758&gt;=5,(MID(J759,1,1)&amp;MID(J759,2,4)+1),CELL("address",AB759))</f>
        <v>$AB$759</v>
      </c>
      <c r="L759" s="129" t="str">
        <f ca="1">IF(J758&gt;=6,(MID(K759,1,1)&amp;MID(K759,2,4)+1),CELL("address",AC759))</f>
        <v>$AC$759</v>
      </c>
      <c r="M759" s="129" t="str">
        <f ca="1">IF(J758&gt;=7,(MID(L759,1,1)&amp;MID(L759,2,4)+1),CELL("address",AD759))</f>
        <v>$AD$759</v>
      </c>
      <c r="N759" s="129" t="str">
        <f ca="1">IF(J758&gt;=8,(MID(M759,1,1)&amp;MID(M759,2,4)+1),CELL("address",AE759))</f>
        <v>$AE$759</v>
      </c>
      <c r="O759" s="129" t="str">
        <f ca="1">IF(J758&gt;=9,(MID(N759,1,1)&amp;MID(N759,2,4)+1),CELL("address",AF759))</f>
        <v>$AF$759</v>
      </c>
      <c r="P759" s="129" t="str">
        <f ca="1">IF(J758&gt;=10,(MID(O759,1,1)&amp;MID(O759,2,4)+1),CELL("address",AG759))</f>
        <v>$AG$759</v>
      </c>
      <c r="Q759" s="129" t="str">
        <f ca="1">IF(J758&gt;=11,(MID(P759,1,1)&amp;MID(P759,2,4)+1),CELL("address",AH759))</f>
        <v>$AH$759</v>
      </c>
      <c r="R759" s="129" t="str">
        <f ca="1">IF(J758&gt;=12,(MID(Q759,1,1)&amp;MID(Q759,2,4)+1),CELL("address",AI759))</f>
        <v>$AI$759</v>
      </c>
    </row>
    <row r="760" spans="1:8" ht="15" customHeight="1">
      <c r="A760" s="57"/>
      <c r="B760" s="60"/>
      <c r="C760" s="22"/>
      <c r="D760" s="60"/>
      <c r="E760" s="127"/>
      <c r="F760" s="120"/>
      <c r="G760" s="120"/>
      <c r="H760" s="134"/>
    </row>
    <row r="761" spans="1:8" ht="15" customHeight="1">
      <c r="A761" s="313"/>
      <c r="B761" s="314"/>
      <c r="C761" s="81"/>
      <c r="D761" s="81"/>
      <c r="E761" s="82">
        <f>SUM(E763:E765)</f>
        <v>2.129</v>
      </c>
      <c r="F761" s="120"/>
      <c r="G761" s="120"/>
      <c r="H761" s="134"/>
    </row>
    <row r="762" spans="1:18" ht="15" customHeight="1">
      <c r="A762" s="303" t="s">
        <v>5</v>
      </c>
      <c r="B762" s="303"/>
      <c r="C762" s="78" t="s">
        <v>17</v>
      </c>
      <c r="D762" s="79" t="s">
        <v>18</v>
      </c>
      <c r="E762" s="78" t="s">
        <v>7</v>
      </c>
      <c r="F762" s="120"/>
      <c r="G762" s="122" t="str">
        <f>CONCATENATE("Misc. Healthy parts/ Non Ferrous  Scrap, Lying at ",C763,". Quantity in MT - ")</f>
        <v>Misc. Healthy parts/ Non Ferrous  Scrap, Lying at TRY Kotkapura. Quantity in MT - </v>
      </c>
      <c r="H762" s="170" t="str">
        <f ca="1">CONCATENATE(G762,G763,(INDIRECT(I763)),(INDIRECT(J763)),(INDIRECT(K763)),(INDIRECT(L763)),(INDIRECT(M763)),(INDIRECT(N763)),(INDIRECT(O763)),(INDIRECT(P763)),(INDIRECT(Q763)),(INDIRECT(R763)),".")</f>
        <v>Misc. Healthy parts/ Non Ferrous  Scrap, Lying at TRY Kotkapura. Quantity in MT - Brass scrap - 1.754, Misc. Alumn. Scrap - 0.269, Iron scrap - 0.106, .</v>
      </c>
      <c r="I762" s="129" t="str">
        <f aca="true" ca="1" t="array" ref="I762">CELL("address",INDEX(G762:G784,MATCH(TRUE,ISBLANK(G762:G784),0)))</f>
        <v>$G$766</v>
      </c>
      <c r="J762" s="129">
        <f aca="true" t="array" ref="J762">MATCH(TRUE,ISBLANK(G762:G784),0)</f>
        <v>5</v>
      </c>
      <c r="K762" s="129">
        <f>J762-3</f>
        <v>2</v>
      </c>
      <c r="L762" s="129"/>
      <c r="M762" s="129"/>
      <c r="N762" s="129"/>
      <c r="O762" s="129"/>
      <c r="P762" s="129"/>
      <c r="Q762" s="129"/>
      <c r="R762" s="129"/>
    </row>
    <row r="763" spans="1:18" ht="15" customHeight="1">
      <c r="A763" s="303" t="s">
        <v>199</v>
      </c>
      <c r="B763" s="303"/>
      <c r="C763" s="315" t="s">
        <v>254</v>
      </c>
      <c r="D763" s="50" t="s">
        <v>23</v>
      </c>
      <c r="E763" s="52">
        <v>1.754</v>
      </c>
      <c r="F763" s="120"/>
      <c r="G763" s="120" t="str">
        <f>CONCATENATE(D763," - ",E763,", ")</f>
        <v>Brass scrap - 1.754, </v>
      </c>
      <c r="H763" s="170"/>
      <c r="I763" s="129" t="str">
        <f ca="1">IF(J762&gt;=3,(MID(I762,2,1)&amp;MID(I762,4,4)-K762),CELL("address",Z763))</f>
        <v>G764</v>
      </c>
      <c r="J763" s="129" t="str">
        <f ca="1">IF(J762&gt;=4,(MID(I763,1,1)&amp;MID(I763,2,4)+1),CELL("address",AA763))</f>
        <v>G765</v>
      </c>
      <c r="K763" s="129" t="str">
        <f ca="1">IF(J762&gt;=5,(MID(J763,1,1)&amp;MID(J763,2,4)+1),CELL("address",AB763))</f>
        <v>G766</v>
      </c>
      <c r="L763" s="129" t="str">
        <f ca="1">IF(J762&gt;=6,(MID(K763,1,1)&amp;MID(K763,2,4)+1),CELL("address",AC763))</f>
        <v>$AC$763</v>
      </c>
      <c r="M763" s="129" t="str">
        <f ca="1">IF(J762&gt;=7,(MID(L763,1,1)&amp;MID(L763,2,4)+1),CELL("address",AD763))</f>
        <v>$AD$763</v>
      </c>
      <c r="N763" s="129" t="str">
        <f ca="1">IF(J762&gt;=8,(MID(M763,1,1)&amp;MID(M763,2,4)+1),CELL("address",AE763))</f>
        <v>$AE$763</v>
      </c>
      <c r="O763" s="129" t="str">
        <f ca="1">IF(J762&gt;=9,(MID(N763,1,1)&amp;MID(N763,2,4)+1),CELL("address",AF763))</f>
        <v>$AF$763</v>
      </c>
      <c r="P763" s="129" t="str">
        <f ca="1">IF(J762&gt;=10,(MID(O763,1,1)&amp;MID(O763,2,4)+1),CELL("address",AG763))</f>
        <v>$AG$763</v>
      </c>
      <c r="Q763" s="129" t="str">
        <f ca="1">IF(J762&gt;=11,(MID(P763,1,1)&amp;MID(P763,2,4)+1),CELL("address",AH763))</f>
        <v>$AH$763</v>
      </c>
      <c r="R763" s="129" t="str">
        <f ca="1">IF(J762&gt;=12,(MID(Q763,1,1)&amp;MID(Q763,2,4)+1),CELL("address",AI763))</f>
        <v>$AI$763</v>
      </c>
    </row>
    <row r="764" spans="1:8" ht="15" customHeight="1">
      <c r="A764" s="303"/>
      <c r="B764" s="303"/>
      <c r="C764" s="315"/>
      <c r="D764" s="50" t="s">
        <v>31</v>
      </c>
      <c r="E764" s="78">
        <v>0.269</v>
      </c>
      <c r="F764" s="120"/>
      <c r="G764" s="120" t="str">
        <f>CONCATENATE(D764," - ",E764,", ")</f>
        <v>Misc. Alumn. Scrap - 0.269, </v>
      </c>
      <c r="H764" s="134"/>
    </row>
    <row r="765" spans="1:8" ht="15" customHeight="1">
      <c r="A765" s="303"/>
      <c r="B765" s="303"/>
      <c r="C765" s="315"/>
      <c r="D765" s="45" t="s">
        <v>27</v>
      </c>
      <c r="E765" s="78">
        <v>0.106</v>
      </c>
      <c r="F765" s="120"/>
      <c r="G765" s="137" t="str">
        <f>CONCATENATE(D765," - ",E765,", ")</f>
        <v>Iron scrap - 0.106, </v>
      </c>
      <c r="H765" s="133"/>
    </row>
    <row r="766" spans="1:8" ht="15" customHeight="1">
      <c r="A766" s="308"/>
      <c r="B766" s="326"/>
      <c r="C766" s="228"/>
      <c r="D766" s="232"/>
      <c r="E766" s="142"/>
      <c r="F766" s="120"/>
      <c r="G766" s="120"/>
      <c r="H766" s="133"/>
    </row>
    <row r="767" spans="1:8" ht="15" customHeight="1">
      <c r="A767" s="313"/>
      <c r="B767" s="314"/>
      <c r="C767" s="81"/>
      <c r="D767" s="81"/>
      <c r="E767" s="82">
        <f>SUM(E769:E772)</f>
        <v>1.557</v>
      </c>
      <c r="F767" s="120"/>
      <c r="G767" s="120"/>
      <c r="H767" s="133"/>
    </row>
    <row r="768" spans="1:18" ht="15" customHeight="1">
      <c r="A768" s="308" t="s">
        <v>5</v>
      </c>
      <c r="B768" s="326"/>
      <c r="C768" s="78" t="s">
        <v>17</v>
      </c>
      <c r="D768" s="79" t="s">
        <v>18</v>
      </c>
      <c r="E768" s="78" t="s">
        <v>7</v>
      </c>
      <c r="F768" s="120"/>
      <c r="G768" s="122" t="str">
        <f>CONCATENATE("Misc. Healthy parts/ Non Ferrous  Scrap, Lying at ",C769,". Quantity in MT - ")</f>
        <v>Misc. Healthy parts/ Non Ferrous  Scrap, Lying at TRY Mansa. Quantity in MT - </v>
      </c>
      <c r="H768" s="170" t="str">
        <f ca="1">CONCATENATE(G768,G769,(INDIRECT(I769)),(INDIRECT(J769)),(INDIRECT(K769)),(INDIRECT(L769)),(INDIRECT(M769)),(INDIRECT(N769)),(INDIRECT(O769)),(INDIRECT(P769)),(INDIRECT(Q769)),(INDIRECT(R769)),".")</f>
        <v>Misc. Healthy parts/ Non Ferrous  Scrap, Lying at TRY Mansa. Quantity in MT - Brass scrap - 1.302, Misc. Aluminium scrap - 0.147, Burnt Cu scrap - 0.027,  Iron scrap - 0.081, .</v>
      </c>
      <c r="I768" s="129" t="str">
        <f aca="true" ca="1" t="array" ref="I768">CELL("address",INDEX(G768:G790,MATCH(TRUE,ISBLANK(G768:G790),0)))</f>
        <v>$G$773</v>
      </c>
      <c r="J768" s="129">
        <f aca="true" t="array" ref="J768">MATCH(TRUE,ISBLANK(G768:G790),0)</f>
        <v>6</v>
      </c>
      <c r="K768" s="129">
        <f>J768-3</f>
        <v>3</v>
      </c>
      <c r="L768" s="129"/>
      <c r="M768" s="129"/>
      <c r="N768" s="129"/>
      <c r="O768" s="129"/>
      <c r="P768" s="129"/>
      <c r="Q768" s="129"/>
      <c r="R768" s="129"/>
    </row>
    <row r="769" spans="1:18" ht="15" customHeight="1">
      <c r="A769" s="303" t="s">
        <v>241</v>
      </c>
      <c r="B769" s="303"/>
      <c r="C769" s="315" t="s">
        <v>170</v>
      </c>
      <c r="D769" s="45" t="s">
        <v>23</v>
      </c>
      <c r="E769" s="51">
        <v>1.302</v>
      </c>
      <c r="F769" s="120"/>
      <c r="G769" s="120" t="str">
        <f>CONCATENATE(D769," - ",E769,", ")</f>
        <v>Brass scrap - 1.302, </v>
      </c>
      <c r="H769" s="170"/>
      <c r="I769" s="129" t="str">
        <f ca="1">IF(J768&gt;=3,(MID(I768,2,1)&amp;MID(I768,4,4)-K768),CELL("address",Z769))</f>
        <v>G770</v>
      </c>
      <c r="J769" s="129" t="str">
        <f ca="1">IF(J768&gt;=4,(MID(I769,1,1)&amp;MID(I769,2,4)+1),CELL("address",AA769))</f>
        <v>G771</v>
      </c>
      <c r="K769" s="129" t="str">
        <f ca="1">IF(J768&gt;=5,(MID(J769,1,1)&amp;MID(J769,2,4)+1),CELL("address",AB769))</f>
        <v>G772</v>
      </c>
      <c r="L769" s="129" t="str">
        <f ca="1">IF(J768&gt;=6,(MID(K769,1,1)&amp;MID(K769,2,4)+1),CELL("address",AC769))</f>
        <v>G773</v>
      </c>
      <c r="M769" s="129" t="str">
        <f ca="1">IF(J768&gt;=7,(MID(L769,1,1)&amp;MID(L769,2,4)+1),CELL("address",AD769))</f>
        <v>$AD$769</v>
      </c>
      <c r="N769" s="129" t="str">
        <f ca="1">IF(J768&gt;=8,(MID(M769,1,1)&amp;MID(M769,2,4)+1),CELL("address",AE769))</f>
        <v>$AE$769</v>
      </c>
      <c r="O769" s="129" t="str">
        <f ca="1">IF(J768&gt;=9,(MID(N769,1,1)&amp;MID(N769,2,4)+1),CELL("address",AF769))</f>
        <v>$AF$769</v>
      </c>
      <c r="P769" s="129" t="str">
        <f ca="1">IF(J768&gt;=10,(MID(O769,1,1)&amp;MID(O769,2,4)+1),CELL("address",AG769))</f>
        <v>$AG$769</v>
      </c>
      <c r="Q769" s="129" t="str">
        <f ca="1">IF(J768&gt;=11,(MID(P769,1,1)&amp;MID(P769,2,4)+1),CELL("address",AH769))</f>
        <v>$AH$769</v>
      </c>
      <c r="R769" s="129" t="str">
        <f ca="1">IF(J768&gt;=12,(MID(Q769,1,1)&amp;MID(Q769,2,4)+1),CELL("address",AI769))</f>
        <v>$AI$769</v>
      </c>
    </row>
    <row r="770" spans="1:8" ht="15" customHeight="1">
      <c r="A770" s="303"/>
      <c r="B770" s="303"/>
      <c r="C770" s="315"/>
      <c r="D770" s="45" t="s">
        <v>24</v>
      </c>
      <c r="E770" s="51">
        <v>0.147</v>
      </c>
      <c r="F770" s="120"/>
      <c r="G770" s="120" t="str">
        <f>CONCATENATE(D770," - ",E770,", ")</f>
        <v>Misc. Aluminium scrap - 0.147, </v>
      </c>
      <c r="H770" s="133"/>
    </row>
    <row r="771" spans="1:8" ht="15" customHeight="1">
      <c r="A771" s="303"/>
      <c r="B771" s="303"/>
      <c r="C771" s="315"/>
      <c r="D771" s="45" t="s">
        <v>37</v>
      </c>
      <c r="E771" s="51">
        <v>0.027</v>
      </c>
      <c r="F771" s="120"/>
      <c r="G771" s="120" t="str">
        <f>CONCATENATE(D771," - ",E771,", ")</f>
        <v>Burnt Cu scrap - 0.027, </v>
      </c>
      <c r="H771" s="133"/>
    </row>
    <row r="772" spans="1:8" ht="15" customHeight="1">
      <c r="A772" s="303"/>
      <c r="B772" s="303"/>
      <c r="C772" s="315"/>
      <c r="D772" s="50" t="s">
        <v>76</v>
      </c>
      <c r="E772" s="51">
        <v>0.081</v>
      </c>
      <c r="F772" s="120"/>
      <c r="G772" s="120" t="str">
        <f>CONCATENATE(D772," - ",E772,", ")</f>
        <v> Iron scrap - 0.081, </v>
      </c>
      <c r="H772" s="135"/>
    </row>
    <row r="773" spans="1:8" ht="15" customHeight="1">
      <c r="A773" s="40"/>
      <c r="B773" s="1"/>
      <c r="C773" s="1"/>
      <c r="D773" s="1"/>
      <c r="E773" s="1"/>
      <c r="F773" s="120"/>
      <c r="G773" s="120"/>
      <c r="H773" s="133"/>
    </row>
    <row r="774" spans="1:8" ht="15" customHeight="1">
      <c r="A774" s="313"/>
      <c r="B774" s="314"/>
      <c r="C774" s="81"/>
      <c r="D774" s="81"/>
      <c r="E774" s="82">
        <f>SUM(E776:E780)</f>
        <v>2.086</v>
      </c>
      <c r="F774" s="120"/>
      <c r="G774" s="120"/>
      <c r="H774" s="133"/>
    </row>
    <row r="775" spans="1:18" ht="15" customHeight="1">
      <c r="A775" s="308" t="s">
        <v>5</v>
      </c>
      <c r="B775" s="326"/>
      <c r="C775" s="78" t="s">
        <v>17</v>
      </c>
      <c r="D775" s="79" t="s">
        <v>18</v>
      </c>
      <c r="E775" s="78" t="s">
        <v>7</v>
      </c>
      <c r="F775" s="120"/>
      <c r="G775" s="122" t="str">
        <f>CONCATENATE("Misc. Healthy parts/ Non Ferrous  Scrap, Lying at ",C776,". Quantity in MT - ")</f>
        <v>Misc. Healthy parts/ Non Ferrous  Scrap, Lying at TRY Bhagta Bhai Ka. Quantity in MT - </v>
      </c>
      <c r="H775" s="334" t="str">
        <f ca="1">CONCATENATE(G775,G776,(INDIRECT(I776)),(INDIRECT(J776)),(INDIRECT(K776)),(INDIRECT(L776)),(INDIRECT(M776)),(INDIRECT(N776)),(INDIRECT(O776)),(INDIRECT(P776)),(INDIRECT(Q776)),(INDIRECT(R776)),".")</f>
        <v>Misc. Healthy parts/ Non Ferrous  Scrap, Lying at TRY Bhagta Bhai Ka. Quantity in MT - Brass scrap - 1.22, Misc. Aluminium scrap - 0.151, Burnt Cu scrap - 0.037,  Iron scrap - 0.088, Nuts &amp; Bolts scrap - 0.59, .</v>
      </c>
      <c r="I775" s="129" t="str">
        <f aca="true" ca="1" t="array" ref="I775">CELL("address",INDEX(G775:G797,MATCH(TRUE,ISBLANK(G775:G797),0)))</f>
        <v>$G$781</v>
      </c>
      <c r="J775" s="129">
        <f aca="true" t="array" ref="J775">MATCH(TRUE,ISBLANK(G775:G797),0)</f>
        <v>7</v>
      </c>
      <c r="K775" s="129">
        <f>J775-3</f>
        <v>4</v>
      </c>
      <c r="L775" s="129"/>
      <c r="M775" s="129"/>
      <c r="N775" s="129"/>
      <c r="O775" s="129"/>
      <c r="P775" s="129"/>
      <c r="Q775" s="129"/>
      <c r="R775" s="129"/>
    </row>
    <row r="776" spans="1:18" ht="15" customHeight="1">
      <c r="A776" s="316" t="s">
        <v>256</v>
      </c>
      <c r="B776" s="317"/>
      <c r="C776" s="322" t="s">
        <v>134</v>
      </c>
      <c r="D776" s="45" t="s">
        <v>23</v>
      </c>
      <c r="E776" s="51">
        <v>1.22</v>
      </c>
      <c r="F776" s="120"/>
      <c r="G776" s="120" t="str">
        <f>CONCATENATE(D776," - ",E776,", ")</f>
        <v>Brass scrap - 1.22, </v>
      </c>
      <c r="H776" s="335"/>
      <c r="I776" s="129" t="str">
        <f ca="1">IF(J775&gt;=3,(MID(I775,2,1)&amp;MID(I775,4,4)-K775),CELL("address",Z776))</f>
        <v>G777</v>
      </c>
      <c r="J776" s="129" t="str">
        <f ca="1">IF(J775&gt;=4,(MID(I776,1,1)&amp;MID(I776,2,4)+1),CELL("address",AA776))</f>
        <v>G778</v>
      </c>
      <c r="K776" s="129" t="str">
        <f ca="1">IF(J775&gt;=5,(MID(J776,1,1)&amp;MID(J776,2,4)+1),CELL("address",AB776))</f>
        <v>G779</v>
      </c>
      <c r="L776" s="129" t="str">
        <f ca="1">IF(J775&gt;=6,(MID(K776,1,1)&amp;MID(K776,2,4)+1),CELL("address",AC776))</f>
        <v>G780</v>
      </c>
      <c r="M776" s="129" t="str">
        <f ca="1">IF(J775&gt;=7,(MID(L776,1,1)&amp;MID(L776,2,4)+1),CELL("address",AD776))</f>
        <v>G781</v>
      </c>
      <c r="N776" s="129" t="str">
        <f ca="1">IF(J775&gt;=8,(MID(M776,1,1)&amp;MID(M776,2,4)+1),CELL("address",AE776))</f>
        <v>$AE$776</v>
      </c>
      <c r="O776" s="129" t="str">
        <f ca="1">IF(J775&gt;=9,(MID(N776,1,1)&amp;MID(N776,2,4)+1),CELL("address",AF776))</f>
        <v>$AF$776</v>
      </c>
      <c r="P776" s="129" t="str">
        <f ca="1">IF(J775&gt;=10,(MID(O776,1,1)&amp;MID(O776,2,4)+1),CELL("address",AG776))</f>
        <v>$AG$776</v>
      </c>
      <c r="Q776" s="129" t="str">
        <f ca="1">IF(J775&gt;=11,(MID(P776,1,1)&amp;MID(P776,2,4)+1),CELL("address",AH776))</f>
        <v>$AH$776</v>
      </c>
      <c r="R776" s="129" t="str">
        <f ca="1">IF(J775&gt;=12,(MID(Q776,1,1)&amp;MID(Q776,2,4)+1),CELL("address",AI776))</f>
        <v>$AI$776</v>
      </c>
    </row>
    <row r="777" spans="1:8" ht="15" customHeight="1">
      <c r="A777" s="318"/>
      <c r="B777" s="319"/>
      <c r="C777" s="323"/>
      <c r="D777" s="45" t="s">
        <v>24</v>
      </c>
      <c r="E777" s="51">
        <v>0.151</v>
      </c>
      <c r="F777" s="120"/>
      <c r="G777" s="120" t="str">
        <f>CONCATENATE(D777," - ",E777,", ")</f>
        <v>Misc. Aluminium scrap - 0.151, </v>
      </c>
      <c r="H777" s="133"/>
    </row>
    <row r="778" spans="1:8" ht="15" customHeight="1">
      <c r="A778" s="318"/>
      <c r="B778" s="319"/>
      <c r="C778" s="323"/>
      <c r="D778" s="45" t="s">
        <v>37</v>
      </c>
      <c r="E778" s="51">
        <v>0.037</v>
      </c>
      <c r="F778" s="120"/>
      <c r="G778" s="120" t="str">
        <f>CONCATENATE(D778," - ",E778,", ")</f>
        <v>Burnt Cu scrap - 0.037, </v>
      </c>
      <c r="H778" s="133"/>
    </row>
    <row r="779" spans="1:8" ht="15" customHeight="1">
      <c r="A779" s="318"/>
      <c r="B779" s="319"/>
      <c r="C779" s="323"/>
      <c r="D779" s="50" t="s">
        <v>76</v>
      </c>
      <c r="E779" s="51">
        <v>0.088</v>
      </c>
      <c r="F779" s="120"/>
      <c r="G779" s="120" t="str">
        <f>CONCATENATE(D779," - ",E779,", ")</f>
        <v> Iron scrap - 0.088, </v>
      </c>
      <c r="H779" s="133"/>
    </row>
    <row r="780" spans="1:8" ht="15" customHeight="1">
      <c r="A780" s="320"/>
      <c r="B780" s="321"/>
      <c r="C780" s="324"/>
      <c r="D780" s="45" t="s">
        <v>59</v>
      </c>
      <c r="E780" s="51">
        <v>0.59</v>
      </c>
      <c r="F780" s="120"/>
      <c r="G780" s="120" t="str">
        <f>CONCATENATE(D780," - ",E780,", ")</f>
        <v>Nuts &amp; Bolts scrap - 0.59, </v>
      </c>
      <c r="H780" s="133"/>
    </row>
    <row r="781" spans="1:8" ht="15" customHeight="1">
      <c r="A781" s="57"/>
      <c r="B781" s="60"/>
      <c r="C781" s="22"/>
      <c r="D781" s="60"/>
      <c r="E781" s="127"/>
      <c r="F781" s="120"/>
      <c r="G781" s="124"/>
      <c r="H781" s="133"/>
    </row>
    <row r="782" spans="1:8" ht="15" customHeight="1">
      <c r="A782" s="313"/>
      <c r="B782" s="314"/>
      <c r="C782" s="81"/>
      <c r="D782" s="81"/>
      <c r="E782" s="167">
        <f>SUM(E784:E784)</f>
        <v>0.021</v>
      </c>
      <c r="F782" s="120"/>
      <c r="G782" s="124"/>
      <c r="H782" s="133"/>
    </row>
    <row r="783" spans="1:18" ht="15" customHeight="1">
      <c r="A783" s="303" t="s">
        <v>5</v>
      </c>
      <c r="B783" s="303"/>
      <c r="C783" s="78" t="s">
        <v>17</v>
      </c>
      <c r="D783" s="79" t="s">
        <v>18</v>
      </c>
      <c r="E783" s="83" t="s">
        <v>7</v>
      </c>
      <c r="F783" s="120"/>
      <c r="G783" s="222" t="str">
        <f>CONCATENATE("Misc. Healthy parts/ Non Ferrous  Scrap, Lying at ",C784,". Quantity in MT - ")</f>
        <v>Misc. Healthy parts/ Non Ferrous  Scrap, Lying at OL Barnala. Quantity in MT - </v>
      </c>
      <c r="H783" s="170" t="str">
        <f ca="1">CONCATENATE(G783,G784,(INDIRECT(I784)),(INDIRECT(J784)),(INDIRECT(K784)),(INDIRECT(L784)),(INDIRECT(M784)),(INDIRECT(N784)),(INDIRECT(O784)),(INDIRECT(P784)),(INDIRECT(Q784)),(INDIRECT(R784)),".")</f>
        <v>Misc. Healthy parts/ Non Ferrous  Scrap, Lying at OL Barnala. Quantity in MT - Misc. copper scrap - 0.021, .</v>
      </c>
      <c r="I783" s="129" t="str">
        <f aca="true" ca="1" t="array" ref="I783">CELL("address",INDEX(G783:G805,MATCH(TRUE,ISBLANK(G783:G805),0)))</f>
        <v>$G$785</v>
      </c>
      <c r="J783" s="129">
        <f aca="true" t="array" ref="J783">MATCH(TRUE,ISBLANK(G783:G805),0)</f>
        <v>3</v>
      </c>
      <c r="K783" s="129">
        <f>J783-3</f>
        <v>0</v>
      </c>
      <c r="L783" s="129"/>
      <c r="M783" s="129"/>
      <c r="N783" s="129"/>
      <c r="O783" s="129"/>
      <c r="P783" s="129"/>
      <c r="Q783" s="129"/>
      <c r="R783" s="129"/>
    </row>
    <row r="784" spans="1:18" ht="15" customHeight="1">
      <c r="A784" s="303" t="s">
        <v>276</v>
      </c>
      <c r="B784" s="303"/>
      <c r="C784" s="228" t="s">
        <v>194</v>
      </c>
      <c r="D784" s="73" t="s">
        <v>113</v>
      </c>
      <c r="E784" s="84">
        <v>0.021</v>
      </c>
      <c r="F784" s="221"/>
      <c r="G784" s="120" t="str">
        <f>CONCATENATE(D784," - ",E784,", ")</f>
        <v>Misc. copper scrap - 0.021, </v>
      </c>
      <c r="H784" s="140"/>
      <c r="I784" s="129" t="str">
        <f ca="1">IF(J783&gt;=3,(MID(I783,2,1)&amp;MID(I783,4,4)-K783),CELL("address",Z784))</f>
        <v>G785</v>
      </c>
      <c r="J784" s="129" t="str">
        <f ca="1">IF(J783&gt;=4,(MID(I784,1,1)&amp;MID(I784,2,4)+1),CELL("address",AA784))</f>
        <v>$AA$784</v>
      </c>
      <c r="K784" s="129" t="str">
        <f ca="1">IF(J783&gt;=5,(MID(J784,1,1)&amp;MID(J784,2,4)+1),CELL("address",AB784))</f>
        <v>$AB$784</v>
      </c>
      <c r="L784" s="129" t="str">
        <f ca="1">IF(J783&gt;=6,(MID(K784,1,1)&amp;MID(K784,2,4)+1),CELL("address",AC784))</f>
        <v>$AC$784</v>
      </c>
      <c r="M784" s="129" t="str">
        <f ca="1">IF(J783&gt;=7,(MID(L784,1,1)&amp;MID(L784,2,4)+1),CELL("address",AD784))</f>
        <v>$AD$784</v>
      </c>
      <c r="N784" s="129" t="str">
        <f ca="1">IF(J783&gt;=8,(MID(M784,1,1)&amp;MID(M784,2,4)+1),CELL("address",AE784))</f>
        <v>$AE$784</v>
      </c>
      <c r="O784" s="129" t="str">
        <f ca="1">IF(J783&gt;=9,(MID(N784,1,1)&amp;MID(N784,2,4)+1),CELL("address",AF784))</f>
        <v>$AF$784</v>
      </c>
      <c r="P784" s="129" t="str">
        <f ca="1">IF(J783&gt;=10,(MID(O784,1,1)&amp;MID(O784,2,4)+1),CELL("address",AG784))</f>
        <v>$AG$784</v>
      </c>
      <c r="Q784" s="129" t="str">
        <f ca="1">IF(J783&gt;=11,(MID(P784,1,1)&amp;MID(P784,2,4)+1),CELL("address",AH784))</f>
        <v>$AH$784</v>
      </c>
      <c r="R784" s="129" t="str">
        <f ca="1">IF(J783&gt;=12,(MID(Q784,1,1)&amp;MID(Q784,2,4)+1),CELL("address",AI784))</f>
        <v>$AI$784</v>
      </c>
    </row>
    <row r="785" spans="1:8" ht="15" customHeight="1">
      <c r="A785" s="40"/>
      <c r="B785" s="1"/>
      <c r="C785" s="1"/>
      <c r="D785" s="1"/>
      <c r="E785" s="1"/>
      <c r="F785" s="221"/>
      <c r="G785" s="120"/>
      <c r="H785" s="133"/>
    </row>
    <row r="786" spans="1:8" ht="15" customHeight="1">
      <c r="A786" s="313"/>
      <c r="B786" s="314"/>
      <c r="C786" s="81"/>
      <c r="D786" s="81"/>
      <c r="E786" s="167">
        <f>SUM(E788:E790)</f>
        <v>1.097</v>
      </c>
      <c r="F786" s="221"/>
      <c r="G786" s="120"/>
      <c r="H786" s="133"/>
    </row>
    <row r="787" spans="1:18" ht="15" customHeight="1">
      <c r="A787" s="303" t="s">
        <v>5</v>
      </c>
      <c r="B787" s="303"/>
      <c r="C787" s="78" t="s">
        <v>17</v>
      </c>
      <c r="D787" s="79" t="s">
        <v>18</v>
      </c>
      <c r="E787" s="83" t="s">
        <v>7</v>
      </c>
      <c r="F787" s="221"/>
      <c r="G787" s="122" t="str">
        <f>CONCATENATE("Misc. Healthy parts/ Non Ferrous  Scrap, Lying at ",C788,". Quantity in MT - ")</f>
        <v>Misc. Healthy parts/ Non Ferrous  Scrap, Lying at TRY Moga. Quantity in MT - </v>
      </c>
      <c r="H787" s="140" t="str">
        <f ca="1">CONCATENATE(G787,G788,(INDIRECT(I788)),(INDIRECT(J788)),(INDIRECT(K788)),(INDIRECT(L788)),(INDIRECT(M788)),(INDIRECT(N788)),(INDIRECT(O788)),(INDIRECT(P788)),(INDIRECT(Q788)),(INDIRECT(R788)),".")</f>
        <v>Misc. Healthy parts/ Non Ferrous  Scrap, Lying at TRY Moga. Quantity in MT - Brass scrap - 0.911, Misc. Alumn. Scrap - 0.125, Iron scrap - 0.061, .</v>
      </c>
      <c r="I787" s="129" t="str">
        <f aca="true" ca="1" t="array" ref="I787">CELL("address",INDEX(G787:G809,MATCH(TRUE,ISBLANK(G787:G809),0)))</f>
        <v>$G$791</v>
      </c>
      <c r="J787" s="129">
        <f aca="true" t="array" ref="J787">MATCH(TRUE,ISBLANK(G787:G809),0)</f>
        <v>5</v>
      </c>
      <c r="K787" s="129">
        <f>J787-3</f>
        <v>2</v>
      </c>
      <c r="L787" s="129"/>
      <c r="M787" s="129"/>
      <c r="N787" s="129"/>
      <c r="O787" s="129"/>
      <c r="P787" s="129"/>
      <c r="Q787" s="129"/>
      <c r="R787" s="129"/>
    </row>
    <row r="788" spans="1:18" ht="15" customHeight="1">
      <c r="A788" s="303" t="s">
        <v>281</v>
      </c>
      <c r="B788" s="303"/>
      <c r="C788" s="315" t="s">
        <v>227</v>
      </c>
      <c r="D788" s="50" t="s">
        <v>23</v>
      </c>
      <c r="E788" s="168">
        <v>0.911</v>
      </c>
      <c r="F788" s="221"/>
      <c r="G788" s="120" t="str">
        <f>CONCATENATE(D788," - ",E788,", ")</f>
        <v>Brass scrap - 0.911, </v>
      </c>
      <c r="H788" s="140"/>
      <c r="I788" s="129" t="str">
        <f ca="1">IF(J787&gt;=3,(MID(I787,2,1)&amp;MID(I787,4,4)-K787),CELL("address",Z788))</f>
        <v>G789</v>
      </c>
      <c r="J788" s="129" t="str">
        <f ca="1">IF(J787&gt;=4,(MID(I788,1,1)&amp;MID(I788,2,4)+1),CELL("address",AA788))</f>
        <v>G790</v>
      </c>
      <c r="K788" s="129" t="str">
        <f ca="1">IF(J787&gt;=5,(MID(J788,1,1)&amp;MID(J788,2,4)+1),CELL("address",AB788))</f>
        <v>G791</v>
      </c>
      <c r="L788" s="129" t="str">
        <f ca="1">IF(J787&gt;=6,(MID(K788,1,1)&amp;MID(K788,2,4)+1),CELL("address",AC788))</f>
        <v>$AC$788</v>
      </c>
      <c r="M788" s="129" t="str">
        <f ca="1">IF(J787&gt;=7,(MID(L788,1,1)&amp;MID(L788,2,4)+1),CELL("address",AD788))</f>
        <v>$AD$788</v>
      </c>
      <c r="N788" s="129" t="str">
        <f ca="1">IF(J787&gt;=8,(MID(M788,1,1)&amp;MID(M788,2,4)+1),CELL("address",AE788))</f>
        <v>$AE$788</v>
      </c>
      <c r="O788" s="129" t="str">
        <f ca="1">IF(J787&gt;=9,(MID(N788,1,1)&amp;MID(N788,2,4)+1),CELL("address",AF788))</f>
        <v>$AF$788</v>
      </c>
      <c r="P788" s="129" t="str">
        <f ca="1">IF(J787&gt;=10,(MID(O788,1,1)&amp;MID(O788,2,4)+1),CELL("address",AG788))</f>
        <v>$AG$788</v>
      </c>
      <c r="Q788" s="129" t="str">
        <f ca="1">IF(J787&gt;=11,(MID(P788,1,1)&amp;MID(P788,2,4)+1),CELL("address",AH788))</f>
        <v>$AH$788</v>
      </c>
      <c r="R788" s="129" t="str">
        <f ca="1">IF(J787&gt;=12,(MID(Q788,1,1)&amp;MID(Q788,2,4)+1),CELL("address",AI788))</f>
        <v>$AI$788</v>
      </c>
    </row>
    <row r="789" spans="1:8" ht="15" customHeight="1">
      <c r="A789" s="303"/>
      <c r="B789" s="303"/>
      <c r="C789" s="315"/>
      <c r="D789" s="50" t="s">
        <v>31</v>
      </c>
      <c r="E789" s="83">
        <v>0.125</v>
      </c>
      <c r="F789" s="221"/>
      <c r="G789" s="120" t="str">
        <f>CONCATENATE(D789," - ",E789,", ")</f>
        <v>Misc. Alumn. Scrap - 0.125, </v>
      </c>
      <c r="H789" s="133"/>
    </row>
    <row r="790" spans="1:8" ht="15" customHeight="1">
      <c r="A790" s="303"/>
      <c r="B790" s="303"/>
      <c r="C790" s="315"/>
      <c r="D790" s="45" t="s">
        <v>27</v>
      </c>
      <c r="E790" s="83">
        <v>0.061</v>
      </c>
      <c r="F790" s="221"/>
      <c r="G790" s="120" t="str">
        <f>CONCATENATE(D790," - ",E790,", ")</f>
        <v>Iron scrap - 0.061, </v>
      </c>
      <c r="H790" s="133"/>
    </row>
    <row r="791" spans="1:8" ht="15" customHeight="1">
      <c r="A791" s="40"/>
      <c r="B791" s="1"/>
      <c r="C791" s="1"/>
      <c r="D791" s="1"/>
      <c r="E791" s="1"/>
      <c r="F791" s="120"/>
      <c r="G791" s="137"/>
      <c r="H791" s="133"/>
    </row>
    <row r="792" spans="1:8" ht="15" customHeight="1">
      <c r="A792" s="313"/>
      <c r="B792" s="314"/>
      <c r="C792" s="81"/>
      <c r="D792" s="81"/>
      <c r="E792" s="167">
        <f>SUM(E794:E794)</f>
        <v>0.125</v>
      </c>
      <c r="F792" s="120"/>
      <c r="G792" s="137"/>
      <c r="H792" s="133"/>
    </row>
    <row r="793" spans="1:18" ht="15" customHeight="1">
      <c r="A793" s="303" t="s">
        <v>5</v>
      </c>
      <c r="B793" s="303"/>
      <c r="C793" s="78" t="s">
        <v>17</v>
      </c>
      <c r="D793" s="79" t="s">
        <v>18</v>
      </c>
      <c r="E793" s="83" t="s">
        <v>7</v>
      </c>
      <c r="F793" s="120"/>
      <c r="G793" s="253" t="str">
        <f>CONCATENATE("Misc. Healthy parts/ Non Ferrous  Scrap, Lying at ",C794,". Quantity in MT - ")</f>
        <v>Misc. Healthy parts/ Non Ferrous  Scrap, Lying at S &amp; T Store Bathinda . Quantity in MT - </v>
      </c>
      <c r="H793" s="140" t="str">
        <f ca="1">CONCATENATE(G793,G794,(INDIRECT(I794)),(INDIRECT(J794)),(INDIRECT(K794)),(INDIRECT(L794)),(INDIRECT(M794)),(INDIRECT(N794)),(INDIRECT(O794)),(INDIRECT(P794)),(INDIRECT(Q794)),(INDIRECT(R794)),".")</f>
        <v>Misc. Healthy parts/ Non Ferrous  Scrap, Lying at S &amp; T Store Bathinda . Quantity in MT - Misc. copper scrap - 0.125, .</v>
      </c>
      <c r="I793" s="129" t="str">
        <f aca="true" ca="1" t="array" ref="I793">CELL("address",INDEX(G793:G816,MATCH(TRUE,ISBLANK(G793:G816),0)))</f>
        <v>$G$795</v>
      </c>
      <c r="J793" s="129">
        <f aca="true" t="array" ref="J793">MATCH(TRUE,ISBLANK(G793:G816),0)</f>
        <v>3</v>
      </c>
      <c r="K793" s="129">
        <f>J793-3</f>
        <v>0</v>
      </c>
      <c r="L793" s="129"/>
      <c r="M793" s="129"/>
      <c r="N793" s="129"/>
      <c r="O793" s="129"/>
      <c r="P793" s="129"/>
      <c r="Q793" s="129"/>
      <c r="R793" s="129"/>
    </row>
    <row r="794" spans="1:18" ht="15" customHeight="1">
      <c r="A794" s="303" t="s">
        <v>391</v>
      </c>
      <c r="B794" s="303"/>
      <c r="C794" s="229" t="s">
        <v>390</v>
      </c>
      <c r="D794" s="73" t="s">
        <v>113</v>
      </c>
      <c r="E794" s="84">
        <v>0.125</v>
      </c>
      <c r="F794" s="120"/>
      <c r="G794" s="137" t="str">
        <f>CONCATENATE(D794," - ",E794,", ")</f>
        <v>Misc. copper scrap - 0.125, </v>
      </c>
      <c r="H794" s="140"/>
      <c r="I794" s="129" t="str">
        <f ca="1">IF(J793&gt;=3,(MID(I793,2,1)&amp;MID(I793,4,4)-K793),CELL("address",Z794))</f>
        <v>G795</v>
      </c>
      <c r="J794" s="129" t="str">
        <f ca="1">IF(J793&gt;=4,(MID(I794,1,1)&amp;MID(I794,2,4)+1),CELL("address",AA794))</f>
        <v>$AA$794</v>
      </c>
      <c r="K794" s="129" t="str">
        <f ca="1">IF(J793&gt;=5,(MID(J794,1,1)&amp;MID(J794,2,4)+1),CELL("address",AB794))</f>
        <v>$AB$794</v>
      </c>
      <c r="L794" s="129" t="str">
        <f ca="1">IF(J793&gt;=6,(MID(K794,1,1)&amp;MID(K794,2,4)+1),CELL("address",AC794))</f>
        <v>$AC$794</v>
      </c>
      <c r="M794" s="129" t="str">
        <f ca="1">IF(J793&gt;=7,(MID(L794,1,1)&amp;MID(L794,2,4)+1),CELL("address",AD794))</f>
        <v>$AD$794</v>
      </c>
      <c r="N794" s="129" t="str">
        <f ca="1">IF(J793&gt;=8,(MID(M794,1,1)&amp;MID(M794,2,4)+1),CELL("address",AE794))</f>
        <v>$AE$794</v>
      </c>
      <c r="O794" s="129" t="str">
        <f ca="1">IF(J793&gt;=9,(MID(N794,1,1)&amp;MID(N794,2,4)+1),CELL("address",AF794))</f>
        <v>$AF$794</v>
      </c>
      <c r="P794" s="129" t="str">
        <f ca="1">IF(J793&gt;=10,(MID(O794,1,1)&amp;MID(O794,2,4)+1),CELL("address",AG794))</f>
        <v>$AG$794</v>
      </c>
      <c r="Q794" s="129" t="str">
        <f ca="1">IF(J793&gt;=11,(MID(P794,1,1)&amp;MID(P794,2,4)+1),CELL("address",AH794))</f>
        <v>$AH$794</v>
      </c>
      <c r="R794" s="129" t="str">
        <f ca="1">IF(J793&gt;=12,(MID(Q794,1,1)&amp;MID(Q794,2,4)+1),CELL("address",AI794))</f>
        <v>$AI$794</v>
      </c>
    </row>
    <row r="795" spans="1:8" ht="15" customHeight="1">
      <c r="A795" s="40"/>
      <c r="B795" s="1"/>
      <c r="C795" s="1"/>
      <c r="D795" s="1"/>
      <c r="E795" s="1"/>
      <c r="F795" s="120"/>
      <c r="G795" s="137"/>
      <c r="H795" s="133"/>
    </row>
    <row r="796" spans="1:8" ht="15" customHeight="1">
      <c r="A796" s="313"/>
      <c r="B796" s="314"/>
      <c r="C796" s="81"/>
      <c r="D796" s="81"/>
      <c r="E796" s="167">
        <f>SUM(E798:E798)</f>
        <v>0.174</v>
      </c>
      <c r="F796" s="120"/>
      <c r="G796" s="137"/>
      <c r="H796" s="133"/>
    </row>
    <row r="797" spans="1:18" ht="15" customHeight="1">
      <c r="A797" s="303" t="s">
        <v>5</v>
      </c>
      <c r="B797" s="303"/>
      <c r="C797" s="78" t="s">
        <v>17</v>
      </c>
      <c r="D797" s="79" t="s">
        <v>18</v>
      </c>
      <c r="E797" s="83" t="s">
        <v>7</v>
      </c>
      <c r="F797" s="120"/>
      <c r="G797" s="253" t="str">
        <f>CONCATENATE("Misc. Healthy parts/ Non Ferrous  Scrap, Lying at ",C798,". Quantity in MT - ")</f>
        <v>Misc. Healthy parts/ Non Ferrous  Scrap, Lying at CS Ferozepur. Quantity in MT - </v>
      </c>
      <c r="H797" s="140" t="str">
        <f ca="1">CONCATENATE(G797,G798,(INDIRECT(I798)),(INDIRECT(J798)),(INDIRECT(K798)),(INDIRECT(L798)),(INDIRECT(M798)),(INDIRECT(N798)),(INDIRECT(O798)),(INDIRECT(P798)),(INDIRECT(Q798)),(INDIRECT(R798)),".")</f>
        <v>Misc. Healthy parts/ Non Ferrous  Scrap, Lying at CS Ferozepur. Quantity in MT - Misc. copper scrap - 0.174, .</v>
      </c>
      <c r="I797" s="129" t="str">
        <f aca="true" ca="1" t="array" ref="I797">CELL("address",INDEX(G797:G818,MATCH(TRUE,ISBLANK(G797:G818),0)))</f>
        <v>$G$799</v>
      </c>
      <c r="J797" s="129">
        <f aca="true" t="array" ref="J797">MATCH(TRUE,ISBLANK(G797:G818),0)</f>
        <v>3</v>
      </c>
      <c r="K797" s="129">
        <f>J797-3</f>
        <v>0</v>
      </c>
      <c r="L797" s="129"/>
      <c r="M797" s="129"/>
      <c r="N797" s="129"/>
      <c r="O797" s="129"/>
      <c r="P797" s="129"/>
      <c r="Q797" s="129"/>
      <c r="R797" s="129"/>
    </row>
    <row r="798" spans="1:18" ht="15" customHeight="1">
      <c r="A798" s="303" t="s">
        <v>399</v>
      </c>
      <c r="B798" s="303"/>
      <c r="C798" s="229" t="s">
        <v>100</v>
      </c>
      <c r="D798" s="73" t="s">
        <v>113</v>
      </c>
      <c r="E798" s="84">
        <v>0.174</v>
      </c>
      <c r="F798" s="120"/>
      <c r="G798" s="137" t="str">
        <f>CONCATENATE(D798," - ",E798,", ")</f>
        <v>Misc. copper scrap - 0.174, </v>
      </c>
      <c r="H798" s="140"/>
      <c r="I798" s="129" t="str">
        <f ca="1">IF(J797&gt;=3,(MID(I797,2,1)&amp;MID(I797,4,4)-K797),CELL("address",Z798))</f>
        <v>G799</v>
      </c>
      <c r="J798" s="129" t="str">
        <f ca="1">IF(J797&gt;=4,(MID(I798,1,1)&amp;MID(I798,2,4)+1),CELL("address",AA798))</f>
        <v>$AA$798</v>
      </c>
      <c r="K798" s="129" t="str">
        <f ca="1">IF(J797&gt;=5,(MID(J798,1,1)&amp;MID(J798,2,4)+1),CELL("address",AB798))</f>
        <v>$AB$798</v>
      </c>
      <c r="L798" s="129" t="str">
        <f ca="1">IF(J797&gt;=6,(MID(K798,1,1)&amp;MID(K798,2,4)+1),CELL("address",AC798))</f>
        <v>$AC$798</v>
      </c>
      <c r="M798" s="129" t="str">
        <f ca="1">IF(J797&gt;=7,(MID(L798,1,1)&amp;MID(L798,2,4)+1),CELL("address",AD798))</f>
        <v>$AD$798</v>
      </c>
      <c r="N798" s="129" t="str">
        <f ca="1">IF(J797&gt;=8,(MID(M798,1,1)&amp;MID(M798,2,4)+1),CELL("address",AE798))</f>
        <v>$AE$798</v>
      </c>
      <c r="O798" s="129" t="str">
        <f ca="1">IF(J797&gt;=9,(MID(N798,1,1)&amp;MID(N798,2,4)+1),CELL("address",AF798))</f>
        <v>$AF$798</v>
      </c>
      <c r="P798" s="129" t="str">
        <f ca="1">IF(J797&gt;=10,(MID(O798,1,1)&amp;MID(O798,2,4)+1),CELL("address",AG798))</f>
        <v>$AG$798</v>
      </c>
      <c r="Q798" s="129" t="str">
        <f ca="1">IF(J797&gt;=11,(MID(P798,1,1)&amp;MID(P798,2,4)+1),CELL("address",AH798))</f>
        <v>$AH$798</v>
      </c>
      <c r="R798" s="129" t="str">
        <f ca="1">IF(J797&gt;=12,(MID(Q798,1,1)&amp;MID(Q798,2,4)+1),CELL("address",AI798))</f>
        <v>$AI$798</v>
      </c>
    </row>
    <row r="799" spans="1:8" ht="15" customHeight="1">
      <c r="A799" s="40"/>
      <c r="B799" s="1"/>
      <c r="C799" s="1"/>
      <c r="D799" s="1"/>
      <c r="E799" s="1"/>
      <c r="F799" s="120"/>
      <c r="H799" s="131"/>
    </row>
    <row r="800" spans="1:8" ht="15" customHeight="1">
      <c r="A800" s="313"/>
      <c r="B800" s="314"/>
      <c r="C800" s="81"/>
      <c r="D800" s="81"/>
      <c r="E800" s="167">
        <f>SUM(E802:E805)</f>
        <v>0.23000000000000004</v>
      </c>
      <c r="F800" s="120"/>
      <c r="H800" s="131"/>
    </row>
    <row r="801" spans="1:18" ht="15" customHeight="1">
      <c r="A801" s="303" t="s">
        <v>5</v>
      </c>
      <c r="B801" s="303"/>
      <c r="C801" s="78" t="s">
        <v>17</v>
      </c>
      <c r="D801" s="79" t="s">
        <v>18</v>
      </c>
      <c r="E801" s="83" t="s">
        <v>7</v>
      </c>
      <c r="F801" s="120"/>
      <c r="G801" s="254" t="str">
        <f>CONCATENATE("Misc. Healthy parts/ Non Ferrous  Scrap, Lying at ",C802,". Quantity in MT - ")</f>
        <v>Misc. Healthy parts/ Non Ferrous  Scrap, Lying at TRY Barnala. Quantity in MT - </v>
      </c>
      <c r="H801" s="140" t="str">
        <f ca="1">CONCATENATE(G801,G802,(INDIRECT(I802)),(INDIRECT(J802)),(INDIRECT(K802)),(INDIRECT(L802)),(INDIRECT(M802)),(INDIRECT(N802)),(INDIRECT(O802)),(INDIRECT(P802)),(INDIRECT(Q802)),(INDIRECT(R802)),".")</f>
        <v>Misc. Healthy parts/ Non Ferrous  Scrap, Lying at TRY Barnala. Quantity in MT - Brass scrap - 0.2, Misc. Alumn. Scrap - 0.011, Iron scrap - 0.011, Burnt Cu scrap - 0.008, .</v>
      </c>
      <c r="I801" s="129" t="str">
        <f aca="true" ca="1" t="array" ref="I801">CELL("address",INDEX(G801:G822,MATCH(TRUE,ISBLANK(G801:G822),0)))</f>
        <v>$G$806</v>
      </c>
      <c r="J801" s="129">
        <f aca="true" t="array" ref="J801">MATCH(TRUE,ISBLANK(G801:G822),0)</f>
        <v>6</v>
      </c>
      <c r="K801" s="129">
        <f>J801-3</f>
        <v>3</v>
      </c>
      <c r="L801" s="129"/>
      <c r="M801" s="129"/>
      <c r="N801" s="129"/>
      <c r="O801" s="129"/>
      <c r="P801" s="129"/>
      <c r="Q801" s="129"/>
      <c r="R801" s="129"/>
    </row>
    <row r="802" spans="1:18" ht="15" customHeight="1">
      <c r="A802" s="303" t="s">
        <v>409</v>
      </c>
      <c r="B802" s="303"/>
      <c r="C802" s="315" t="s">
        <v>408</v>
      </c>
      <c r="D802" s="50" t="s">
        <v>23</v>
      </c>
      <c r="E802" s="168">
        <v>0.2</v>
      </c>
      <c r="F802" s="120"/>
      <c r="G802" s="255" t="str">
        <f>CONCATENATE(D802," - ",E802,", ")</f>
        <v>Brass scrap - 0.2, </v>
      </c>
      <c r="H802" s="140"/>
      <c r="I802" s="129" t="str">
        <f ca="1">IF(J801&gt;=3,(MID(I801,2,1)&amp;MID(I801,4,4)-K801),CELL("address",Z802))</f>
        <v>G803</v>
      </c>
      <c r="J802" s="129" t="str">
        <f ca="1">IF(J801&gt;=4,(MID(I802,1,1)&amp;MID(I802,2,4)+1),CELL("address",AA802))</f>
        <v>G804</v>
      </c>
      <c r="K802" s="129" t="str">
        <f ca="1">IF(J801&gt;=5,(MID(J802,1,1)&amp;MID(J802,2,4)+1),CELL("address",AB802))</f>
        <v>G805</v>
      </c>
      <c r="L802" s="129" t="str">
        <f ca="1">IF(J801&gt;=6,(MID(K802,1,1)&amp;MID(K802,2,4)+1),CELL("address",AC802))</f>
        <v>G806</v>
      </c>
      <c r="M802" s="129" t="str">
        <f ca="1">IF(J801&gt;=7,(MID(L802,1,1)&amp;MID(L802,2,4)+1),CELL("address",AD802))</f>
        <v>$AD$802</v>
      </c>
      <c r="N802" s="129" t="str">
        <f ca="1">IF(J801&gt;=8,(MID(M802,1,1)&amp;MID(M802,2,4)+1),CELL("address",AE802))</f>
        <v>$AE$802</v>
      </c>
      <c r="O802" s="129" t="str">
        <f ca="1">IF(J801&gt;=9,(MID(N802,1,1)&amp;MID(N802,2,4)+1),CELL("address",AF802))</f>
        <v>$AF$802</v>
      </c>
      <c r="P802" s="129" t="str">
        <f ca="1">IF(J801&gt;=10,(MID(O802,1,1)&amp;MID(O802,2,4)+1),CELL("address",AG802))</f>
        <v>$AG$802</v>
      </c>
      <c r="Q802" s="129" t="str">
        <f ca="1">IF(J801&gt;=11,(MID(P802,1,1)&amp;MID(P802,2,4)+1),CELL("address",AH802))</f>
        <v>$AH$802</v>
      </c>
      <c r="R802" s="129" t="str">
        <f ca="1">IF(J801&gt;=12,(MID(Q802,1,1)&amp;MID(Q802,2,4)+1),CELL("address",AI802))</f>
        <v>$AI$802</v>
      </c>
    </row>
    <row r="803" spans="1:8" ht="15" customHeight="1">
      <c r="A803" s="303"/>
      <c r="B803" s="303"/>
      <c r="C803" s="315"/>
      <c r="D803" s="50" t="s">
        <v>31</v>
      </c>
      <c r="E803" s="83">
        <v>0.011</v>
      </c>
      <c r="F803" s="120"/>
      <c r="G803" s="255" t="str">
        <f>CONCATENATE(D803," - ",E803,", ")</f>
        <v>Misc. Alumn. Scrap - 0.011, </v>
      </c>
      <c r="H803" s="133"/>
    </row>
    <row r="804" spans="1:8" ht="15" customHeight="1">
      <c r="A804" s="303"/>
      <c r="B804" s="303"/>
      <c r="C804" s="315"/>
      <c r="D804" s="45" t="s">
        <v>27</v>
      </c>
      <c r="E804" s="83">
        <v>0.011</v>
      </c>
      <c r="F804" s="120"/>
      <c r="G804" s="255" t="str">
        <f>CONCATENATE(D804," - ",E804,", ")</f>
        <v>Iron scrap - 0.011, </v>
      </c>
      <c r="H804" s="133"/>
    </row>
    <row r="805" spans="1:8" ht="15" customHeight="1">
      <c r="A805" s="303"/>
      <c r="B805" s="303"/>
      <c r="C805" s="315"/>
      <c r="D805" s="45" t="s">
        <v>37</v>
      </c>
      <c r="E805" s="241">
        <v>0.008</v>
      </c>
      <c r="F805" s="120"/>
      <c r="G805" s="255" t="str">
        <f>CONCATENATE(D805," - ",E805,", ")</f>
        <v>Burnt Cu scrap - 0.008, </v>
      </c>
      <c r="H805" s="133"/>
    </row>
    <row r="806" spans="1:8" ht="15" customHeight="1">
      <c r="A806" s="40"/>
      <c r="B806" s="1"/>
      <c r="C806" s="1"/>
      <c r="D806" s="1"/>
      <c r="E806" s="1"/>
      <c r="F806" s="120"/>
      <c r="H806" s="133"/>
    </row>
    <row r="807" spans="1:8" ht="15" customHeight="1">
      <c r="A807" s="313"/>
      <c r="B807" s="314"/>
      <c r="C807" s="81"/>
      <c r="D807" s="81"/>
      <c r="E807" s="167">
        <f>SUM(E809:E813)</f>
        <v>2.958</v>
      </c>
      <c r="F807" s="120"/>
      <c r="H807" s="133"/>
    </row>
    <row r="808" spans="1:18" ht="24" customHeight="1">
      <c r="A808" s="303" t="s">
        <v>5</v>
      </c>
      <c r="B808" s="303"/>
      <c r="C808" s="78" t="s">
        <v>17</v>
      </c>
      <c r="D808" s="79" t="s">
        <v>18</v>
      </c>
      <c r="E808" s="83" t="s">
        <v>7</v>
      </c>
      <c r="F808" s="120"/>
      <c r="G808" s="254" t="str">
        <f>CONCATENATE("Misc. Healthy parts/ Non Ferrous  Scrap, Lying at ",C809,". Quantity in MT - ")</f>
        <v>Misc. Healthy parts/ Non Ferrous  Scrap, Lying at TRY Sangrur. Quantity in MT - </v>
      </c>
      <c r="H808" s="140" t="str">
        <f ca="1">CONCATENATE(G808,G809,(INDIRECT(I809)),(INDIRECT(J809)),(INDIRECT(K809)),(INDIRECT(L809)),(INDIRECT(M809)),(INDIRECT(N809)),(INDIRECT(O809)),(INDIRECT(P809)),(INDIRECT(Q809)),(INDIRECT(R809)),".")</f>
        <v>Misc. Healthy parts/ Non Ferrous  Scrap, Lying at TRY Sangrur. Quantity in MT - Brass scrap - 1.56, Misc. Alumn. Scrap - 0.125, Burnt Cu scrap - 0.043, Iron scrap - 0.177, Nuts &amp; Bolts scrap - 1.053, .</v>
      </c>
      <c r="I808" s="129" t="str">
        <f aca="true" ca="1" t="array" ref="I808">CELL("address",INDEX(G808:G829,MATCH(TRUE,ISBLANK(G808:G829),0)))</f>
        <v>$G$814</v>
      </c>
      <c r="J808" s="129">
        <f aca="true" t="array" ref="J808">MATCH(TRUE,ISBLANK(G808:G829),0)</f>
        <v>7</v>
      </c>
      <c r="K808" s="129">
        <f>J808-3</f>
        <v>4</v>
      </c>
      <c r="L808" s="129"/>
      <c r="M808" s="129"/>
      <c r="N808" s="129"/>
      <c r="O808" s="129"/>
      <c r="P808" s="129"/>
      <c r="Q808" s="129"/>
      <c r="R808" s="129"/>
    </row>
    <row r="809" spans="1:18" ht="15" customHeight="1">
      <c r="A809" s="303" t="s">
        <v>410</v>
      </c>
      <c r="B809" s="303"/>
      <c r="C809" s="315" t="s">
        <v>137</v>
      </c>
      <c r="D809" s="50" t="s">
        <v>23</v>
      </c>
      <c r="E809" s="168">
        <v>1.56</v>
      </c>
      <c r="F809" s="120"/>
      <c r="G809" s="255" t="str">
        <f>CONCATENATE(D809," - ",E809,", ")</f>
        <v>Brass scrap - 1.56, </v>
      </c>
      <c r="H809" s="140"/>
      <c r="I809" s="129" t="str">
        <f ca="1">IF(J808&gt;=3,(MID(I808,2,1)&amp;MID(I808,4,4)-K808),CELL("address",Z809))</f>
        <v>G810</v>
      </c>
      <c r="J809" s="129" t="str">
        <f ca="1">IF(J808&gt;=4,(MID(I809,1,1)&amp;MID(I809,2,4)+1),CELL("address",AA809))</f>
        <v>G811</v>
      </c>
      <c r="K809" s="129" t="str">
        <f ca="1">IF(J808&gt;=5,(MID(J809,1,1)&amp;MID(J809,2,4)+1),CELL("address",AB809))</f>
        <v>G812</v>
      </c>
      <c r="L809" s="129" t="str">
        <f ca="1">IF(J808&gt;=6,(MID(K809,1,1)&amp;MID(K809,2,4)+1),CELL("address",AC809))</f>
        <v>G813</v>
      </c>
      <c r="M809" s="129" t="str">
        <f ca="1">IF(J808&gt;=7,(MID(L809,1,1)&amp;MID(L809,2,4)+1),CELL("address",AD809))</f>
        <v>G814</v>
      </c>
      <c r="N809" s="129" t="str">
        <f ca="1">IF(J808&gt;=8,(MID(M809,1,1)&amp;MID(M809,2,4)+1),CELL("address",AE809))</f>
        <v>$AE$809</v>
      </c>
      <c r="O809" s="129" t="str">
        <f ca="1">IF(J808&gt;=9,(MID(N809,1,1)&amp;MID(N809,2,4)+1),CELL("address",AF809))</f>
        <v>$AF$809</v>
      </c>
      <c r="P809" s="129" t="str">
        <f ca="1">IF(J808&gt;=10,(MID(O809,1,1)&amp;MID(O809,2,4)+1),CELL("address",AG809))</f>
        <v>$AG$809</v>
      </c>
      <c r="Q809" s="129" t="str">
        <f ca="1">IF(J808&gt;=11,(MID(P809,1,1)&amp;MID(P809,2,4)+1),CELL("address",AH809))</f>
        <v>$AH$809</v>
      </c>
      <c r="R809" s="129" t="str">
        <f ca="1">IF(J808&gt;=12,(MID(Q809,1,1)&amp;MID(Q809,2,4)+1),CELL("address",AI809))</f>
        <v>$AI$809</v>
      </c>
    </row>
    <row r="810" spans="1:8" ht="15" customHeight="1">
      <c r="A810" s="303"/>
      <c r="B810" s="303"/>
      <c r="C810" s="315"/>
      <c r="D810" s="50" t="s">
        <v>31</v>
      </c>
      <c r="E810" s="83">
        <v>0.125</v>
      </c>
      <c r="F810" s="120"/>
      <c r="G810" s="255" t="str">
        <f>CONCATENATE(D810," - ",E810,", ")</f>
        <v>Misc. Alumn. Scrap - 0.125, </v>
      </c>
      <c r="H810" s="133"/>
    </row>
    <row r="811" spans="1:8" ht="15" customHeight="1">
      <c r="A811" s="303"/>
      <c r="B811" s="303"/>
      <c r="C811" s="315"/>
      <c r="D811" s="45" t="s">
        <v>37</v>
      </c>
      <c r="E811" s="241">
        <v>0.043</v>
      </c>
      <c r="F811" s="120"/>
      <c r="G811" s="255" t="str">
        <f>CONCATENATE(D811," - ",E811,", ")</f>
        <v>Burnt Cu scrap - 0.043, </v>
      </c>
      <c r="H811" s="133"/>
    </row>
    <row r="812" spans="1:8" ht="15" customHeight="1">
      <c r="A812" s="303"/>
      <c r="B812" s="303"/>
      <c r="C812" s="315"/>
      <c r="D812" s="45" t="s">
        <v>27</v>
      </c>
      <c r="E812" s="241">
        <v>0.177</v>
      </c>
      <c r="F812" s="120"/>
      <c r="G812" s="255" t="str">
        <f>CONCATENATE(D812," - ",E812,", ")</f>
        <v>Iron scrap - 0.177, </v>
      </c>
      <c r="H812" s="133"/>
    </row>
    <row r="813" spans="1:8" ht="15" customHeight="1">
      <c r="A813" s="303"/>
      <c r="B813" s="303"/>
      <c r="C813" s="315"/>
      <c r="D813" s="45" t="s">
        <v>59</v>
      </c>
      <c r="E813" s="241">
        <v>1.053</v>
      </c>
      <c r="F813" s="120"/>
      <c r="G813" s="255" t="str">
        <f>CONCATENATE(D813," - ",E813,", ")</f>
        <v>Nuts &amp; Bolts scrap - 1.053, </v>
      </c>
      <c r="H813" s="133"/>
    </row>
    <row r="814" spans="1:8" ht="15" customHeight="1">
      <c r="A814" s="1"/>
      <c r="B814" s="1"/>
      <c r="C814" s="1"/>
      <c r="D814" s="1"/>
      <c r="E814" s="1"/>
      <c r="F814" s="120"/>
      <c r="H814" s="133"/>
    </row>
    <row r="815" spans="1:8" ht="15" customHeight="1">
      <c r="A815" s="313"/>
      <c r="B815" s="314"/>
      <c r="C815" s="81"/>
      <c r="D815" s="81"/>
      <c r="E815" s="167">
        <f>SUM(E817:E818)</f>
        <v>0.44999999999999996</v>
      </c>
      <c r="F815" s="120"/>
      <c r="H815" s="133"/>
    </row>
    <row r="816" spans="1:18" ht="15" customHeight="1">
      <c r="A816" s="303" t="s">
        <v>5</v>
      </c>
      <c r="B816" s="303"/>
      <c r="C816" s="78" t="s">
        <v>17</v>
      </c>
      <c r="D816" s="79" t="s">
        <v>18</v>
      </c>
      <c r="E816" s="83" t="s">
        <v>7</v>
      </c>
      <c r="F816" s="120"/>
      <c r="G816" s="253" t="str">
        <f>CONCATENATE("Misc. Healthy parts/ Non Ferrous  Scrap, Lying at ",C817,". Quantity in MT - ")</f>
        <v>Misc. Healthy parts/ Non Ferrous  Scrap, Lying at TRY Sangrur. Quantity in MT - </v>
      </c>
      <c r="H816" s="140" t="str">
        <f ca="1">CONCATENATE(G816,G817,(INDIRECT(I817)),(INDIRECT(J817)),(INDIRECT(K817)),(INDIRECT(L817)),(INDIRECT(M817)),(INDIRECT(N817)),(INDIRECT(O817)),(INDIRECT(P817)),(INDIRECT(Q817)),(INDIRECT(R817)),".")</f>
        <v>Misc. Healthy parts/ Non Ferrous  Scrap, Lying at TRY Sangrur. Quantity in MT - Brass scrap - 0.411, Misc. Alumn. Scrap - 0.039, .</v>
      </c>
      <c r="I816" s="129" t="str">
        <f aca="true" ca="1" t="array" ref="I816">CELL("address",INDEX(G816:G837,MATCH(TRUE,ISBLANK(G816:G837),0)))</f>
        <v>$G$819</v>
      </c>
      <c r="J816" s="129">
        <f aca="true" t="array" ref="J816">MATCH(TRUE,ISBLANK(G816:G837),0)</f>
        <v>4</v>
      </c>
      <c r="K816" s="129">
        <f>J816-3</f>
        <v>1</v>
      </c>
      <c r="L816" s="129"/>
      <c r="M816" s="129"/>
      <c r="N816" s="129"/>
      <c r="O816" s="129"/>
      <c r="P816" s="129"/>
      <c r="Q816" s="129"/>
      <c r="R816" s="129"/>
    </row>
    <row r="817" spans="1:18" ht="15" customHeight="1">
      <c r="A817" s="303" t="s">
        <v>411</v>
      </c>
      <c r="B817" s="303"/>
      <c r="C817" s="315" t="s">
        <v>137</v>
      </c>
      <c r="D817" s="50" t="s">
        <v>23</v>
      </c>
      <c r="E817" s="168">
        <v>0.411</v>
      </c>
      <c r="F817" s="120"/>
      <c r="G817" s="137" t="str">
        <f>CONCATENATE(D817," - ",E817,", ")</f>
        <v>Brass scrap - 0.411, </v>
      </c>
      <c r="H817" s="140"/>
      <c r="I817" s="129" t="str">
        <f ca="1">IF(J816&gt;=3,(MID(I816,2,1)&amp;MID(I816,4,4)-K816),CELL("address",Z817))</f>
        <v>G818</v>
      </c>
      <c r="J817" s="129" t="str">
        <f ca="1">IF(J816&gt;=4,(MID(I817,1,1)&amp;MID(I817,2,4)+1),CELL("address",AA817))</f>
        <v>G819</v>
      </c>
      <c r="K817" s="129" t="str">
        <f ca="1">IF(J816&gt;=5,(MID(J817,1,1)&amp;MID(J817,2,4)+1),CELL("address",AB817))</f>
        <v>$AB$817</v>
      </c>
      <c r="L817" s="129" t="str">
        <f ca="1">IF(J816&gt;=6,(MID(K817,1,1)&amp;MID(K817,2,4)+1),CELL("address",AC817))</f>
        <v>$AC$817</v>
      </c>
      <c r="M817" s="129" t="str">
        <f ca="1">IF(J816&gt;=7,(MID(L817,1,1)&amp;MID(L817,2,4)+1),CELL("address",AD817))</f>
        <v>$AD$817</v>
      </c>
      <c r="N817" s="129" t="str">
        <f ca="1">IF(J816&gt;=8,(MID(M817,1,1)&amp;MID(M817,2,4)+1),CELL("address",AE817))</f>
        <v>$AE$817</v>
      </c>
      <c r="O817" s="129" t="str">
        <f ca="1">IF(J816&gt;=9,(MID(N817,1,1)&amp;MID(N817,2,4)+1),CELL("address",AF817))</f>
        <v>$AF$817</v>
      </c>
      <c r="P817" s="129" t="str">
        <f ca="1">IF(J816&gt;=10,(MID(O817,1,1)&amp;MID(O817,2,4)+1),CELL("address",AG817))</f>
        <v>$AG$817</v>
      </c>
      <c r="Q817" s="129" t="str">
        <f ca="1">IF(J816&gt;=11,(MID(P817,1,1)&amp;MID(P817,2,4)+1),CELL("address",AH817))</f>
        <v>$AH$817</v>
      </c>
      <c r="R817" s="129" t="str">
        <f ca="1">IF(J816&gt;=12,(MID(Q817,1,1)&amp;MID(Q817,2,4)+1),CELL("address",AI817))</f>
        <v>$AI$817</v>
      </c>
    </row>
    <row r="818" spans="1:8" ht="15" customHeight="1">
      <c r="A818" s="303"/>
      <c r="B818" s="303"/>
      <c r="C818" s="315"/>
      <c r="D818" s="50" t="s">
        <v>31</v>
      </c>
      <c r="E818" s="83">
        <v>0.039</v>
      </c>
      <c r="F818" s="120"/>
      <c r="G818" s="137" t="str">
        <f>CONCATENATE(D818," - ",E818,", ")</f>
        <v>Misc. Alumn. Scrap - 0.039, </v>
      </c>
      <c r="H818" s="131"/>
    </row>
    <row r="819" spans="1:8" ht="15" customHeight="1">
      <c r="A819" s="1"/>
      <c r="B819" s="1"/>
      <c r="C819" s="1"/>
      <c r="D819" s="1"/>
      <c r="E819" s="1"/>
      <c r="F819" s="120"/>
      <c r="H819" s="131"/>
    </row>
    <row r="820" spans="1:8" ht="15" customHeight="1">
      <c r="A820" s="1"/>
      <c r="B820" s="1"/>
      <c r="C820" s="1"/>
      <c r="D820" s="1"/>
      <c r="E820" s="1"/>
      <c r="H820" s="131"/>
    </row>
    <row r="821" spans="1:8" ht="15" customHeight="1">
      <c r="A821" s="1"/>
      <c r="B821" s="1"/>
      <c r="C821" s="1"/>
      <c r="D821" s="1"/>
      <c r="E821" s="1"/>
      <c r="H821" s="131"/>
    </row>
    <row r="822" spans="1:8" ht="15" customHeight="1">
      <c r="A822" s="1"/>
      <c r="B822" s="1"/>
      <c r="C822" s="1"/>
      <c r="D822" s="1"/>
      <c r="E822" s="1"/>
      <c r="H822" s="131"/>
    </row>
    <row r="823" spans="1:8" ht="11.25" customHeight="1">
      <c r="A823" s="1"/>
      <c r="B823" s="1"/>
      <c r="C823" s="1"/>
      <c r="D823" s="1"/>
      <c r="E823" s="1"/>
      <c r="H823" s="131"/>
    </row>
    <row r="824" spans="1:8" ht="11.25" customHeight="1">
      <c r="A824" s="1"/>
      <c r="B824" s="1"/>
      <c r="C824" s="1"/>
      <c r="D824" s="1"/>
      <c r="E824" s="1"/>
      <c r="H824" s="131"/>
    </row>
    <row r="825" spans="1:8" ht="11.25" customHeight="1">
      <c r="A825" s="1"/>
      <c r="B825" s="1"/>
      <c r="C825" s="1"/>
      <c r="D825" s="1"/>
      <c r="E825" s="1"/>
      <c r="H825" s="131"/>
    </row>
    <row r="826" spans="1:8" ht="11.25" customHeight="1">
      <c r="A826" s="1"/>
      <c r="B826" s="1"/>
      <c r="C826" s="1"/>
      <c r="D826" s="1"/>
      <c r="E826" s="1"/>
      <c r="H826" s="131"/>
    </row>
    <row r="827" spans="1:8" ht="11.25" customHeight="1">
      <c r="A827" s="1"/>
      <c r="B827" s="1"/>
      <c r="C827" s="1"/>
      <c r="D827" s="1"/>
      <c r="E827" s="1"/>
      <c r="H827" s="131"/>
    </row>
    <row r="828" spans="1:8" ht="11.25" customHeight="1">
      <c r="A828" s="1"/>
      <c r="B828" s="1"/>
      <c r="C828" s="1"/>
      <c r="D828" s="1"/>
      <c r="E828" s="1"/>
      <c r="H828" s="131"/>
    </row>
    <row r="829" spans="1:8" ht="11.25" customHeight="1">
      <c r="A829" s="1"/>
      <c r="B829" s="1"/>
      <c r="C829" s="1"/>
      <c r="D829" s="1"/>
      <c r="E829" s="1"/>
      <c r="H829" s="131"/>
    </row>
    <row r="830" spans="1:8" ht="11.25" customHeight="1">
      <c r="A830" s="1"/>
      <c r="B830" s="1"/>
      <c r="C830" s="1"/>
      <c r="D830" s="1"/>
      <c r="E830" s="1"/>
      <c r="H830" s="131"/>
    </row>
    <row r="831" spans="1:8" ht="11.25" customHeight="1">
      <c r="A831" s="1"/>
      <c r="B831" s="1"/>
      <c r="C831" s="1"/>
      <c r="D831" s="1"/>
      <c r="E831" s="1"/>
      <c r="H831" s="131"/>
    </row>
    <row r="832" spans="1:8" ht="11.25" customHeight="1">
      <c r="A832" s="1"/>
      <c r="B832" s="1"/>
      <c r="C832" s="1"/>
      <c r="D832" s="1"/>
      <c r="E832" s="1"/>
      <c r="H832" s="131"/>
    </row>
    <row r="833" spans="1:8" ht="11.25" customHeight="1">
      <c r="A833" s="1"/>
      <c r="B833" s="1"/>
      <c r="C833" s="1"/>
      <c r="D833" s="1"/>
      <c r="E833" s="1"/>
      <c r="H833" s="131"/>
    </row>
    <row r="834" spans="1:8" ht="11.25" customHeight="1">
      <c r="A834" s="1"/>
      <c r="B834" s="1"/>
      <c r="C834" s="1"/>
      <c r="D834" s="1"/>
      <c r="E834" s="1"/>
      <c r="H834" s="131"/>
    </row>
    <row r="835" spans="1:8" ht="15" customHeight="1">
      <c r="A835" s="1"/>
      <c r="B835" s="1"/>
      <c r="C835" s="1"/>
      <c r="D835" s="1"/>
      <c r="E835" s="1"/>
      <c r="H835" s="131"/>
    </row>
    <row r="836" spans="1:8" ht="15" customHeight="1">
      <c r="A836" s="1"/>
      <c r="B836" s="1"/>
      <c r="C836" s="1"/>
      <c r="D836" s="1"/>
      <c r="E836" s="1"/>
      <c r="H836" s="131"/>
    </row>
    <row r="837" spans="1:8" ht="15" customHeight="1">
      <c r="A837" s="1"/>
      <c r="B837" s="1"/>
      <c r="C837" s="1"/>
      <c r="D837" s="1"/>
      <c r="E837" s="1"/>
      <c r="H837" s="131"/>
    </row>
    <row r="838" spans="1:8" ht="15" customHeight="1">
      <c r="A838" s="1"/>
      <c r="B838" s="1"/>
      <c r="C838" s="1"/>
      <c r="D838" s="1"/>
      <c r="E838" s="1"/>
      <c r="H838" s="131"/>
    </row>
    <row r="839" spans="1:8" ht="15" customHeight="1">
      <c r="A839" s="1"/>
      <c r="B839" s="1"/>
      <c r="C839" s="1"/>
      <c r="D839" s="1"/>
      <c r="E839" s="1"/>
      <c r="H839" s="131"/>
    </row>
    <row r="840" spans="1:8" ht="15" customHeight="1">
      <c r="A840" s="1"/>
      <c r="B840" s="1"/>
      <c r="C840" s="1"/>
      <c r="D840" s="1"/>
      <c r="E840" s="1"/>
      <c r="H840" s="131"/>
    </row>
    <row r="841" spans="1:8" ht="34.5" customHeight="1">
      <c r="A841" s="1"/>
      <c r="B841" s="1"/>
      <c r="C841" s="1"/>
      <c r="D841" s="1"/>
      <c r="E841" s="1"/>
      <c r="H841" s="131"/>
    </row>
    <row r="842" spans="1:8" ht="28.5" customHeight="1">
      <c r="A842" s="1"/>
      <c r="B842" s="1"/>
      <c r="C842" s="1"/>
      <c r="D842" s="1"/>
      <c r="E842" s="1"/>
      <c r="H842" s="131"/>
    </row>
    <row r="843" spans="1:8" ht="15" customHeight="1">
      <c r="A843" s="1"/>
      <c r="B843" s="1"/>
      <c r="C843" s="1"/>
      <c r="D843" s="1"/>
      <c r="E843" s="1"/>
      <c r="H843" s="131"/>
    </row>
    <row r="844" spans="1:8" ht="15" customHeight="1">
      <c r="A844" s="1"/>
      <c r="B844" s="1"/>
      <c r="C844" s="1"/>
      <c r="D844" s="1"/>
      <c r="E844" s="1"/>
      <c r="H844" s="131"/>
    </row>
    <row r="845" spans="1:8" ht="15" customHeight="1">
      <c r="A845" s="1"/>
      <c r="B845" s="1"/>
      <c r="C845" s="1"/>
      <c r="D845" s="1"/>
      <c r="E845" s="1"/>
      <c r="H845" s="131"/>
    </row>
    <row r="846" spans="1:8" ht="15" customHeight="1">
      <c r="A846" s="1"/>
      <c r="B846" s="1"/>
      <c r="C846" s="1"/>
      <c r="D846" s="1"/>
      <c r="E846" s="1"/>
      <c r="H846" s="131"/>
    </row>
    <row r="847" spans="1:8" ht="15" customHeight="1">
      <c r="A847" s="1"/>
      <c r="B847" s="1"/>
      <c r="C847" s="1"/>
      <c r="D847" s="1"/>
      <c r="E847" s="1"/>
      <c r="H847" s="131"/>
    </row>
    <row r="848" spans="1:8" ht="15" customHeight="1">
      <c r="A848" s="1"/>
      <c r="B848" s="1"/>
      <c r="C848" s="1"/>
      <c r="D848" s="1"/>
      <c r="E848" s="1"/>
      <c r="H848" s="131"/>
    </row>
    <row r="849" spans="1:8" ht="15" customHeight="1">
      <c r="A849" s="1"/>
      <c r="B849" s="1"/>
      <c r="C849" s="1"/>
      <c r="D849" s="1"/>
      <c r="E849" s="1"/>
      <c r="H849" s="131"/>
    </row>
    <row r="850" spans="1:8" ht="15" customHeight="1">
      <c r="A850" s="1"/>
      <c r="B850" s="1"/>
      <c r="C850" s="1"/>
      <c r="D850" s="1"/>
      <c r="E850" s="1"/>
      <c r="H850" s="131"/>
    </row>
    <row r="851" spans="1:8" ht="15" customHeight="1">
      <c r="A851" s="1"/>
      <c r="B851" s="1"/>
      <c r="C851" s="1"/>
      <c r="D851" s="1"/>
      <c r="E851" s="1"/>
      <c r="H851" s="131"/>
    </row>
    <row r="852" spans="1:8" ht="15" customHeight="1">
      <c r="A852" s="1"/>
      <c r="B852" s="1"/>
      <c r="C852" s="1"/>
      <c r="D852" s="1"/>
      <c r="E852" s="1"/>
      <c r="H852" s="131"/>
    </row>
    <row r="853" spans="1:8" ht="15" customHeight="1">
      <c r="A853" s="1"/>
      <c r="B853" s="1"/>
      <c r="C853" s="1"/>
      <c r="D853" s="1"/>
      <c r="E853" s="1"/>
      <c r="H853" s="131"/>
    </row>
    <row r="854" spans="1:8" ht="15" customHeight="1">
      <c r="A854" s="1"/>
      <c r="B854" s="1"/>
      <c r="C854" s="1"/>
      <c r="D854" s="1"/>
      <c r="E854" s="1"/>
      <c r="H854" s="131"/>
    </row>
    <row r="855" spans="1:8" ht="15" customHeight="1">
      <c r="A855" s="1"/>
      <c r="B855" s="1"/>
      <c r="C855" s="1"/>
      <c r="D855" s="1"/>
      <c r="E855" s="1"/>
      <c r="H855" s="131"/>
    </row>
    <row r="856" spans="1:8" ht="15" customHeight="1">
      <c r="A856" s="1"/>
      <c r="B856" s="1"/>
      <c r="C856" s="1"/>
      <c r="D856" s="1"/>
      <c r="E856" s="1"/>
      <c r="H856" s="131"/>
    </row>
    <row r="857" spans="1:8" ht="15" customHeight="1">
      <c r="A857" s="1"/>
      <c r="B857" s="1"/>
      <c r="C857" s="1"/>
      <c r="D857" s="1"/>
      <c r="E857" s="1"/>
      <c r="H857" s="131"/>
    </row>
    <row r="858" spans="1:5" ht="15" customHeight="1">
      <c r="A858" s="1"/>
      <c r="B858" s="1"/>
      <c r="C858" s="1"/>
      <c r="D858" s="1"/>
      <c r="E858" s="1"/>
    </row>
    <row r="859" spans="1:5" ht="15" customHeight="1">
      <c r="A859" s="1"/>
      <c r="B859" s="1"/>
      <c r="C859" s="1"/>
      <c r="D859" s="1"/>
      <c r="E859" s="1"/>
    </row>
    <row r="860" spans="1:5" ht="15" customHeight="1">
      <c r="A860" s="1"/>
      <c r="B860" s="1"/>
      <c r="C860" s="1"/>
      <c r="D860" s="1"/>
      <c r="E860" s="1"/>
    </row>
    <row r="861" spans="1:5" ht="15" customHeight="1">
      <c r="A861" s="1"/>
      <c r="B861" s="1"/>
      <c r="C861" s="1"/>
      <c r="D861" s="1"/>
      <c r="E861" s="1"/>
    </row>
    <row r="862" spans="1:5" ht="15" customHeight="1">
      <c r="A862" s="1"/>
      <c r="B862" s="1"/>
      <c r="C862" s="1"/>
      <c r="D862" s="1"/>
      <c r="E862" s="1"/>
    </row>
    <row r="863" spans="1:5" ht="15" customHeight="1">
      <c r="A863" s="1"/>
      <c r="B863" s="1"/>
      <c r="C863" s="1"/>
      <c r="D863" s="1"/>
      <c r="E863" s="1"/>
    </row>
    <row r="864" spans="1:5" ht="15" customHeight="1">
      <c r="A864" s="1"/>
      <c r="B864" s="1"/>
      <c r="C864" s="1"/>
      <c r="D864" s="1"/>
      <c r="E864" s="1"/>
    </row>
    <row r="865" spans="1:5" ht="15.75" customHeight="1">
      <c r="A865" s="1"/>
      <c r="B865" s="1"/>
      <c r="C865" s="1"/>
      <c r="D865" s="1"/>
      <c r="E865" s="1"/>
    </row>
    <row r="866" spans="1:5" ht="15.75" customHeight="1">
      <c r="A866" s="1"/>
      <c r="B866" s="1"/>
      <c r="C866" s="1"/>
      <c r="D866" s="1"/>
      <c r="E866" s="1"/>
    </row>
    <row r="867" spans="1:5" ht="15.75" customHeight="1">
      <c r="A867" s="1"/>
      <c r="B867" s="1"/>
      <c r="C867" s="1"/>
      <c r="D867" s="1"/>
      <c r="E867" s="1"/>
    </row>
    <row r="868" spans="1:5" ht="15" customHeight="1">
      <c r="A868" s="1"/>
      <c r="B868" s="1"/>
      <c r="C868" s="1"/>
      <c r="D868" s="1"/>
      <c r="E868" s="1"/>
    </row>
    <row r="869" spans="1:5" ht="15" customHeight="1">
      <c r="A869" s="1"/>
      <c r="B869" s="1"/>
      <c r="C869" s="1"/>
      <c r="D869" s="1"/>
      <c r="E869" s="1"/>
    </row>
    <row r="870" spans="1:5" ht="15" customHeight="1">
      <c r="A870" s="1"/>
      <c r="B870" s="1"/>
      <c r="C870" s="1"/>
      <c r="D870" s="1"/>
      <c r="E870" s="1"/>
    </row>
    <row r="871" spans="1:5" ht="15" customHeight="1">
      <c r="A871" s="1"/>
      <c r="B871" s="1"/>
      <c r="C871" s="1"/>
      <c r="D871" s="1"/>
      <c r="E871" s="1"/>
    </row>
    <row r="872" spans="1:5" ht="15" customHeight="1">
      <c r="A872" s="1"/>
      <c r="B872" s="1"/>
      <c r="C872" s="1"/>
      <c r="D872" s="1"/>
      <c r="E872" s="1"/>
    </row>
    <row r="873" spans="1:5" ht="15" customHeight="1">
      <c r="A873" s="1"/>
      <c r="B873" s="1"/>
      <c r="C873" s="1"/>
      <c r="D873" s="1"/>
      <c r="E873" s="1"/>
    </row>
    <row r="874" spans="1:5" ht="15" customHeight="1">
      <c r="A874" s="1"/>
      <c r="B874" s="1"/>
      <c r="C874" s="1"/>
      <c r="D874" s="1"/>
      <c r="E874" s="1"/>
    </row>
    <row r="875" spans="1:5" ht="15" customHeight="1">
      <c r="A875" s="1"/>
      <c r="B875" s="1"/>
      <c r="C875" s="1"/>
      <c r="D875" s="1"/>
      <c r="E875" s="1"/>
    </row>
    <row r="876" spans="1:5" ht="15" customHeight="1">
      <c r="A876" s="1"/>
      <c r="B876" s="1"/>
      <c r="C876" s="1"/>
      <c r="D876" s="1"/>
      <c r="E876" s="1"/>
    </row>
    <row r="877" spans="1:5" ht="15" customHeight="1">
      <c r="A877" s="1"/>
      <c r="B877" s="1"/>
      <c r="C877" s="1"/>
      <c r="D877" s="1"/>
      <c r="E877" s="1"/>
    </row>
    <row r="878" spans="1:5" ht="15" customHeight="1">
      <c r="A878" s="1"/>
      <c r="B878" s="1"/>
      <c r="C878" s="1"/>
      <c r="D878" s="1"/>
      <c r="E878" s="1"/>
    </row>
    <row r="879" spans="1:5" ht="15" customHeight="1">
      <c r="A879" s="1"/>
      <c r="B879" s="1"/>
      <c r="C879" s="1"/>
      <c r="D879" s="1"/>
      <c r="E879" s="1"/>
    </row>
    <row r="880" spans="1:5" ht="15" customHeight="1">
      <c r="A880" s="1"/>
      <c r="B880" s="1"/>
      <c r="C880" s="1"/>
      <c r="D880" s="1"/>
      <c r="E880" s="1"/>
    </row>
    <row r="881" spans="1:5" ht="15" customHeight="1">
      <c r="A881" s="1"/>
      <c r="B881" s="1"/>
      <c r="C881" s="1"/>
      <c r="D881" s="1"/>
      <c r="E881" s="1"/>
    </row>
    <row r="882" spans="1:5" ht="15" customHeight="1">
      <c r="A882" s="1"/>
      <c r="B882" s="1"/>
      <c r="C882" s="1"/>
      <c r="D882" s="1"/>
      <c r="E882" s="1"/>
    </row>
    <row r="883" spans="1:5" ht="15" customHeight="1">
      <c r="A883" s="1"/>
      <c r="B883" s="1"/>
      <c r="C883" s="1"/>
      <c r="D883" s="1"/>
      <c r="E883" s="1"/>
    </row>
    <row r="884" spans="1:5" ht="15" customHeight="1">
      <c r="A884" s="1"/>
      <c r="B884" s="1"/>
      <c r="C884" s="1"/>
      <c r="D884" s="1"/>
      <c r="E884" s="1"/>
    </row>
    <row r="885" spans="1:5" ht="15" customHeight="1">
      <c r="A885" s="1"/>
      <c r="B885" s="1"/>
      <c r="C885" s="1"/>
      <c r="D885" s="1"/>
      <c r="E885" s="1"/>
    </row>
    <row r="886" spans="1:5" ht="15" customHeight="1">
      <c r="A886" s="1"/>
      <c r="B886" s="1"/>
      <c r="C886" s="1"/>
      <c r="D886" s="1"/>
      <c r="E886" s="1"/>
    </row>
    <row r="887" spans="1:5" ht="15" customHeight="1">
      <c r="A887" s="1"/>
      <c r="B887" s="1"/>
      <c r="C887" s="1"/>
      <c r="D887" s="1"/>
      <c r="E887" s="1"/>
    </row>
    <row r="888" spans="1:5" ht="15" customHeight="1">
      <c r="A888" s="1"/>
      <c r="B888" s="1"/>
      <c r="C888" s="1"/>
      <c r="D888" s="1"/>
      <c r="E888" s="1"/>
    </row>
    <row r="889" spans="1:5" ht="15" customHeight="1">
      <c r="A889" s="1"/>
      <c r="B889" s="1"/>
      <c r="C889" s="1"/>
      <c r="D889" s="1"/>
      <c r="E889" s="1"/>
    </row>
    <row r="890" spans="1:5" ht="15" customHeight="1">
      <c r="A890" s="1"/>
      <c r="B890" s="1"/>
      <c r="C890" s="1"/>
      <c r="D890" s="1"/>
      <c r="E890" s="1"/>
    </row>
    <row r="891" spans="1:5" ht="15" customHeight="1">
      <c r="A891" s="1"/>
      <c r="B891" s="1"/>
      <c r="C891" s="1"/>
      <c r="D891" s="1"/>
      <c r="E891" s="1"/>
    </row>
    <row r="892" spans="1:5" ht="15" customHeight="1">
      <c r="A892" s="1"/>
      <c r="B892" s="1"/>
      <c r="C892" s="1"/>
      <c r="D892" s="1"/>
      <c r="E892" s="1"/>
    </row>
    <row r="893" spans="1:5" ht="13.5" customHeight="1">
      <c r="A893" s="1"/>
      <c r="B893" s="1"/>
      <c r="C893" s="1"/>
      <c r="D893" s="1"/>
      <c r="E893" s="1"/>
    </row>
    <row r="894" spans="1:5" ht="13.5" customHeight="1">
      <c r="A894" s="1"/>
      <c r="B894" s="1"/>
      <c r="C894" s="1"/>
      <c r="D894" s="1"/>
      <c r="E894" s="1"/>
    </row>
    <row r="895" spans="1:5" ht="15" customHeight="1">
      <c r="A895" s="1"/>
      <c r="B895" s="1"/>
      <c r="C895" s="1"/>
      <c r="D895" s="1"/>
      <c r="E895" s="1"/>
    </row>
    <row r="896" spans="1:5" ht="15" customHeight="1">
      <c r="A896" s="1"/>
      <c r="B896" s="1"/>
      <c r="C896" s="1"/>
      <c r="D896" s="1"/>
      <c r="E896" s="1"/>
    </row>
    <row r="897" spans="1:5" ht="15" customHeight="1">
      <c r="A897" s="1"/>
      <c r="B897" s="1"/>
      <c r="C897" s="1"/>
      <c r="D897" s="1"/>
      <c r="E897" s="1"/>
    </row>
    <row r="898" spans="1:5" ht="15" customHeight="1">
      <c r="A898" s="1"/>
      <c r="B898" s="1"/>
      <c r="C898" s="1"/>
      <c r="D898" s="1"/>
      <c r="E898" s="1"/>
    </row>
    <row r="899" spans="1:5" ht="15" customHeight="1">
      <c r="A899" s="1"/>
      <c r="B899" s="1"/>
      <c r="C899" s="1"/>
      <c r="D899" s="1"/>
      <c r="E899" s="1"/>
    </row>
    <row r="900" spans="1:5" ht="16.5" customHeight="1">
      <c r="A900" s="1"/>
      <c r="B900" s="1"/>
      <c r="C900" s="1"/>
      <c r="D900" s="1"/>
      <c r="E900" s="1"/>
    </row>
    <row r="901" spans="1:5" ht="16.5" customHeight="1">
      <c r="A901" s="1"/>
      <c r="B901" s="1"/>
      <c r="C901" s="1"/>
      <c r="D901" s="1"/>
      <c r="E901" s="1"/>
    </row>
    <row r="902" spans="1:5" ht="16.5" customHeight="1">
      <c r="A902" s="1"/>
      <c r="B902" s="1"/>
      <c r="C902" s="1"/>
      <c r="D902" s="1"/>
      <c r="E902" s="1"/>
    </row>
    <row r="903" spans="1:5" ht="16.5" customHeight="1">
      <c r="A903" s="1"/>
      <c r="B903" s="1"/>
      <c r="C903" s="1"/>
      <c r="D903" s="1"/>
      <c r="E903" s="1"/>
    </row>
    <row r="904" spans="1:5" ht="16.5" customHeight="1">
      <c r="A904" s="1"/>
      <c r="B904" s="1"/>
      <c r="C904" s="1"/>
      <c r="D904" s="1"/>
      <c r="E904" s="1"/>
    </row>
    <row r="905" spans="1:5" ht="16.5" customHeight="1">
      <c r="A905" s="1"/>
      <c r="B905" s="1"/>
      <c r="C905" s="1"/>
      <c r="D905" s="1"/>
      <c r="E905" s="1"/>
    </row>
    <row r="906" spans="1:5" ht="16.5" customHeight="1">
      <c r="A906" s="1"/>
      <c r="B906" s="1"/>
      <c r="C906" s="1"/>
      <c r="D906" s="1"/>
      <c r="E906" s="1"/>
    </row>
    <row r="907" spans="1:5" ht="15" customHeight="1">
      <c r="A907" s="1"/>
      <c r="B907" s="1"/>
      <c r="C907" s="1"/>
      <c r="D907" s="1"/>
      <c r="E907" s="1"/>
    </row>
    <row r="908" spans="1:5" ht="15" customHeight="1">
      <c r="A908" s="1"/>
      <c r="B908" s="1"/>
      <c r="C908" s="1"/>
      <c r="D908" s="1"/>
      <c r="E908" s="1"/>
    </row>
    <row r="909" spans="1:5" ht="15" customHeight="1">
      <c r="A909" s="1"/>
      <c r="B909" s="1"/>
      <c r="C909" s="1"/>
      <c r="D909" s="1"/>
      <c r="E909" s="1"/>
    </row>
    <row r="910" spans="1:5" ht="14.25" customHeight="1">
      <c r="A910" s="1"/>
      <c r="B910" s="1"/>
      <c r="C910" s="1"/>
      <c r="D910" s="1"/>
      <c r="E910" s="1"/>
    </row>
    <row r="911" spans="1:5" ht="14.25" customHeight="1">
      <c r="A911" s="1"/>
      <c r="B911" s="1"/>
      <c r="C911" s="1"/>
      <c r="D911" s="1"/>
      <c r="E911" s="1"/>
    </row>
    <row r="912" spans="1:5" ht="14.25" customHeight="1">
      <c r="A912" s="1"/>
      <c r="B912" s="1"/>
      <c r="C912" s="1"/>
      <c r="D912" s="1"/>
      <c r="E912" s="1"/>
    </row>
    <row r="913" spans="1:5" ht="14.25" customHeight="1">
      <c r="A913" s="1"/>
      <c r="B913" s="1"/>
      <c r="C913" s="1"/>
      <c r="D913" s="1"/>
      <c r="E913" s="1"/>
    </row>
    <row r="914" spans="1:5" ht="14.25" customHeight="1">
      <c r="A914" s="1"/>
      <c r="B914" s="1"/>
      <c r="C914" s="1"/>
      <c r="D914" s="1"/>
      <c r="E914" s="1"/>
    </row>
    <row r="915" spans="1:5" ht="14.25" customHeight="1">
      <c r="A915" s="1"/>
      <c r="B915" s="1"/>
      <c r="C915" s="1"/>
      <c r="D915" s="1"/>
      <c r="E915" s="1"/>
    </row>
    <row r="916" spans="1:5" ht="14.25" customHeight="1">
      <c r="A916" s="1"/>
      <c r="B916" s="1"/>
      <c r="C916" s="1"/>
      <c r="D916" s="1"/>
      <c r="E916" s="1"/>
    </row>
    <row r="917" spans="1:5" ht="14.25" customHeight="1">
      <c r="A917" s="1"/>
      <c r="B917" s="1"/>
      <c r="C917" s="1"/>
      <c r="D917" s="1"/>
      <c r="E917" s="1"/>
    </row>
    <row r="918" spans="1:5" ht="14.25" customHeight="1">
      <c r="A918" s="1"/>
      <c r="B918" s="1"/>
      <c r="C918" s="1"/>
      <c r="D918" s="1"/>
      <c r="E918" s="1"/>
    </row>
    <row r="919" spans="1:5" ht="14.25" customHeight="1">
      <c r="A919" s="1"/>
      <c r="B919" s="1"/>
      <c r="C919" s="1"/>
      <c r="D919" s="1"/>
      <c r="E919" s="1"/>
    </row>
    <row r="920" spans="1:5" ht="14.25" customHeight="1">
      <c r="A920" s="1"/>
      <c r="B920" s="1"/>
      <c r="C920" s="1"/>
      <c r="D920" s="1"/>
      <c r="E920" s="1"/>
    </row>
    <row r="921" spans="1:5" ht="14.25" customHeight="1">
      <c r="A921" s="1"/>
      <c r="B921" s="1"/>
      <c r="C921" s="1"/>
      <c r="D921" s="1"/>
      <c r="E921" s="1"/>
    </row>
    <row r="922" spans="1:5" ht="14.25" customHeight="1">
      <c r="A922" s="1"/>
      <c r="B922" s="1"/>
      <c r="C922" s="1"/>
      <c r="D922" s="1"/>
      <c r="E922" s="1"/>
    </row>
    <row r="923" spans="1:5" ht="14.25" customHeight="1">
      <c r="A923" s="1"/>
      <c r="B923" s="1"/>
      <c r="C923" s="1"/>
      <c r="D923" s="1"/>
      <c r="E923" s="1"/>
    </row>
    <row r="924" spans="1:5" ht="14.25" customHeight="1">
      <c r="A924" s="1"/>
      <c r="B924" s="1"/>
      <c r="C924" s="1"/>
      <c r="D924" s="1"/>
      <c r="E924" s="1"/>
    </row>
    <row r="925" spans="1:5" ht="14.25" customHeight="1">
      <c r="A925" s="1"/>
      <c r="B925" s="1"/>
      <c r="C925" s="1"/>
      <c r="D925" s="1"/>
      <c r="E925" s="1"/>
    </row>
    <row r="926" spans="1:5" ht="14.25" customHeight="1">
      <c r="A926" s="1"/>
      <c r="B926" s="1"/>
      <c r="C926" s="1"/>
      <c r="D926" s="1"/>
      <c r="E926" s="1"/>
    </row>
    <row r="927" spans="1:5" ht="14.25" customHeight="1">
      <c r="A927" s="1"/>
      <c r="B927" s="1"/>
      <c r="C927" s="1"/>
      <c r="D927" s="1"/>
      <c r="E927" s="1"/>
    </row>
    <row r="928" spans="1:5" ht="14.25" customHeight="1">
      <c r="A928" s="1"/>
      <c r="B928" s="1"/>
      <c r="C928" s="1"/>
      <c r="D928" s="1"/>
      <c r="E928" s="1"/>
    </row>
    <row r="929" spans="1:5" ht="14.25" customHeight="1">
      <c r="A929" s="1"/>
      <c r="B929" s="1"/>
      <c r="C929" s="1"/>
      <c r="D929" s="1"/>
      <c r="E929" s="1"/>
    </row>
    <row r="930" spans="1:5" ht="14.25" customHeight="1">
      <c r="A930" s="1"/>
      <c r="B930" s="1"/>
      <c r="C930" s="1"/>
      <c r="D930" s="1"/>
      <c r="E930" s="1"/>
    </row>
    <row r="931" spans="1:5" ht="14.25" customHeight="1">
      <c r="A931" s="1"/>
      <c r="B931" s="1"/>
      <c r="C931" s="1"/>
      <c r="D931" s="1"/>
      <c r="E931" s="1"/>
    </row>
    <row r="932" spans="1:5" ht="14.25" customHeight="1">
      <c r="A932" s="1"/>
      <c r="B932" s="1"/>
      <c r="C932" s="1"/>
      <c r="D932" s="1"/>
      <c r="E932" s="1"/>
    </row>
    <row r="933" spans="1:5" ht="14.25" customHeight="1">
      <c r="A933" s="1"/>
      <c r="B933" s="1"/>
      <c r="C933" s="1"/>
      <c r="D933" s="1"/>
      <c r="E933" s="1"/>
    </row>
    <row r="934" spans="1:5" ht="14.25" customHeight="1">
      <c r="A934" s="1"/>
      <c r="B934" s="1"/>
      <c r="C934" s="1"/>
      <c r="D934" s="1"/>
      <c r="E934" s="1"/>
    </row>
    <row r="935" spans="1:5" ht="14.25" customHeight="1">
      <c r="A935" s="1"/>
      <c r="B935" s="1"/>
      <c r="C935" s="1"/>
      <c r="D935" s="1"/>
      <c r="E935" s="1"/>
    </row>
    <row r="936" spans="1:5" ht="14.25" customHeight="1">
      <c r="A936" s="1"/>
      <c r="B936" s="1"/>
      <c r="C936" s="1"/>
      <c r="D936" s="1"/>
      <c r="E936" s="1"/>
    </row>
    <row r="937" spans="1:5" ht="14.25" customHeight="1">
      <c r="A937" s="1"/>
      <c r="B937" s="1"/>
      <c r="C937" s="1"/>
      <c r="D937" s="1"/>
      <c r="E937" s="1"/>
    </row>
    <row r="938" spans="1:5" ht="14.25" customHeight="1">
      <c r="A938" s="1"/>
      <c r="B938" s="1"/>
      <c r="C938" s="1"/>
      <c r="D938" s="1"/>
      <c r="E938" s="1"/>
    </row>
    <row r="939" spans="1:5" ht="14.25" customHeight="1">
      <c r="A939" s="1"/>
      <c r="B939" s="1"/>
      <c r="C939" s="1"/>
      <c r="D939" s="1"/>
      <c r="E939" s="1"/>
    </row>
    <row r="940" spans="1:5" ht="14.25" customHeight="1">
      <c r="A940" s="1"/>
      <c r="B940" s="1"/>
      <c r="C940" s="1"/>
      <c r="D940" s="1"/>
      <c r="E940" s="1"/>
    </row>
    <row r="941" spans="1:5" ht="14.25" customHeight="1">
      <c r="A941" s="1"/>
      <c r="B941" s="1"/>
      <c r="C941" s="1"/>
      <c r="D941" s="1"/>
      <c r="E941" s="1"/>
    </row>
    <row r="942" spans="1:5" ht="14.25" customHeight="1">
      <c r="A942" s="1"/>
      <c r="B942" s="1"/>
      <c r="C942" s="1"/>
      <c r="D942" s="1"/>
      <c r="E942" s="1"/>
    </row>
    <row r="943" spans="1:5" ht="14.25" customHeight="1">
      <c r="A943" s="1"/>
      <c r="B943" s="1"/>
      <c r="C943" s="1"/>
      <c r="D943" s="1"/>
      <c r="E943" s="1"/>
    </row>
    <row r="944" spans="1:5" ht="14.25" customHeight="1">
      <c r="A944" s="1"/>
      <c r="B944" s="1"/>
      <c r="C944" s="1"/>
      <c r="D944" s="1"/>
      <c r="E944" s="1"/>
    </row>
    <row r="945" spans="1:5" ht="14.25" customHeight="1">
      <c r="A945" s="1"/>
      <c r="B945" s="1"/>
      <c r="C945" s="1"/>
      <c r="D945" s="1"/>
      <c r="E945" s="1"/>
    </row>
    <row r="946" spans="1:5" ht="14.25" customHeight="1">
      <c r="A946" s="1"/>
      <c r="B946" s="1"/>
      <c r="C946" s="1"/>
      <c r="D946" s="1"/>
      <c r="E946" s="1"/>
    </row>
    <row r="947" spans="1:5" ht="14.25" customHeight="1">
      <c r="A947" s="1"/>
      <c r="B947" s="1"/>
      <c r="C947" s="1"/>
      <c r="D947" s="1"/>
      <c r="E947" s="1"/>
    </row>
    <row r="948" spans="1:5" ht="14.25" customHeight="1">
      <c r="A948" s="1"/>
      <c r="B948" s="1"/>
      <c r="C948" s="1"/>
      <c r="D948" s="1"/>
      <c r="E948" s="1"/>
    </row>
    <row r="949" spans="1:5" ht="14.25" customHeight="1">
      <c r="A949" s="1"/>
      <c r="B949" s="1"/>
      <c r="C949" s="1"/>
      <c r="D949" s="1"/>
      <c r="E949" s="1"/>
    </row>
    <row r="950" spans="1:5" ht="14.25" customHeight="1">
      <c r="A950" s="1"/>
      <c r="B950" s="1"/>
      <c r="C950" s="1"/>
      <c r="D950" s="1"/>
      <c r="E950" s="1"/>
    </row>
    <row r="951" spans="1:5" ht="14.25" customHeight="1">
      <c r="A951" s="1"/>
      <c r="B951" s="1"/>
      <c r="C951" s="1"/>
      <c r="D951" s="1"/>
      <c r="E951" s="1"/>
    </row>
    <row r="952" spans="1:5" ht="14.25" customHeight="1">
      <c r="A952" s="1"/>
      <c r="B952" s="1"/>
      <c r="C952" s="1"/>
      <c r="D952" s="1"/>
      <c r="E952" s="1"/>
    </row>
    <row r="953" spans="1:5" ht="14.25" customHeight="1">
      <c r="A953" s="1"/>
      <c r="B953" s="1"/>
      <c r="C953" s="1"/>
      <c r="D953" s="1"/>
      <c r="E953" s="1"/>
    </row>
    <row r="954" spans="1:5" ht="14.25" customHeight="1">
      <c r="A954" s="1"/>
      <c r="B954" s="1"/>
      <c r="C954" s="1"/>
      <c r="D954" s="1"/>
      <c r="E954" s="1"/>
    </row>
    <row r="955" spans="1:5" ht="14.25" customHeight="1">
      <c r="A955" s="1"/>
      <c r="B955" s="1"/>
      <c r="C955" s="1"/>
      <c r="D955" s="1"/>
      <c r="E955" s="1"/>
    </row>
    <row r="956" spans="1:5" ht="14.25" customHeight="1">
      <c r="A956" s="1"/>
      <c r="B956" s="1"/>
      <c r="C956" s="1"/>
      <c r="D956" s="1"/>
      <c r="E956" s="1"/>
    </row>
    <row r="957" spans="1:5" ht="14.25" customHeight="1">
      <c r="A957" s="1"/>
      <c r="B957" s="1"/>
      <c r="C957" s="1"/>
      <c r="D957" s="1"/>
      <c r="E957" s="1"/>
    </row>
    <row r="958" spans="1:5" ht="14.25" customHeight="1">
      <c r="A958" s="1"/>
      <c r="B958" s="1"/>
      <c r="C958" s="1"/>
      <c r="D958" s="1"/>
      <c r="E958" s="1"/>
    </row>
    <row r="959" spans="1:5" ht="14.25" customHeight="1">
      <c r="A959" s="1"/>
      <c r="B959" s="1"/>
      <c r="C959" s="1"/>
      <c r="D959" s="1"/>
      <c r="E959" s="1"/>
    </row>
    <row r="960" spans="1:5" ht="14.25" customHeight="1">
      <c r="A960" s="1"/>
      <c r="B960" s="1"/>
      <c r="C960" s="1"/>
      <c r="D960" s="1"/>
      <c r="E960" s="1"/>
    </row>
    <row r="961" spans="1:5" ht="14.25" customHeight="1">
      <c r="A961" s="1"/>
      <c r="B961" s="1"/>
      <c r="C961" s="1"/>
      <c r="D961" s="1"/>
      <c r="E961" s="1"/>
    </row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9.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</sheetData>
  <sheetProtection/>
  <mergeCells count="492">
    <mergeCell ref="H565:H566"/>
    <mergeCell ref="H544:H545"/>
    <mergeCell ref="H548:H549"/>
    <mergeCell ref="H553:H554"/>
    <mergeCell ref="H557:H558"/>
    <mergeCell ref="H561:H562"/>
    <mergeCell ref="C686:C693"/>
    <mergeCell ref="A686:B693"/>
    <mergeCell ref="A561:B561"/>
    <mergeCell ref="A562:B562"/>
    <mergeCell ref="B601:C601"/>
    <mergeCell ref="B602:C602"/>
    <mergeCell ref="A565:B565"/>
    <mergeCell ref="A566:B566"/>
    <mergeCell ref="C574:D574"/>
    <mergeCell ref="A574:B574"/>
    <mergeCell ref="C549:C550"/>
    <mergeCell ref="A549:B550"/>
    <mergeCell ref="A553:B553"/>
    <mergeCell ref="A554:B554"/>
    <mergeCell ref="A557:B557"/>
    <mergeCell ref="A558:B558"/>
    <mergeCell ref="A27:D27"/>
    <mergeCell ref="A28:B28"/>
    <mergeCell ref="C28:D28"/>
    <mergeCell ref="A29:B29"/>
    <mergeCell ref="C29:D29"/>
    <mergeCell ref="A544:B544"/>
    <mergeCell ref="A535:B537"/>
    <mergeCell ref="A101:E101"/>
    <mergeCell ref="A138:C138"/>
    <mergeCell ref="A221:C221"/>
    <mergeCell ref="A817:B818"/>
    <mergeCell ref="C817:C818"/>
    <mergeCell ref="C809:C813"/>
    <mergeCell ref="A809:B813"/>
    <mergeCell ref="C23:D23"/>
    <mergeCell ref="A23:B23"/>
    <mergeCell ref="A523:B523"/>
    <mergeCell ref="A524:B526"/>
    <mergeCell ref="C524:C526"/>
    <mergeCell ref="A761:B761"/>
    <mergeCell ref="A762:B762"/>
    <mergeCell ref="A807:B807"/>
    <mergeCell ref="A808:B808"/>
    <mergeCell ref="A815:B815"/>
    <mergeCell ref="A816:B816"/>
    <mergeCell ref="A800:B800"/>
    <mergeCell ref="A801:B801"/>
    <mergeCell ref="A763:B765"/>
    <mergeCell ref="A768:B768"/>
    <mergeCell ref="A766:B766"/>
    <mergeCell ref="C802:C805"/>
    <mergeCell ref="A802:B805"/>
    <mergeCell ref="C707:C711"/>
    <mergeCell ref="A707:B711"/>
    <mergeCell ref="A745:B745"/>
    <mergeCell ref="A748:B748"/>
    <mergeCell ref="A759:B759"/>
    <mergeCell ref="A757:B757"/>
    <mergeCell ref="A754:B754"/>
    <mergeCell ref="A744:B744"/>
    <mergeCell ref="B593:C593"/>
    <mergeCell ref="B589:C589"/>
    <mergeCell ref="H423:H424"/>
    <mergeCell ref="H430:H431"/>
    <mergeCell ref="A570:B570"/>
    <mergeCell ref="A529:B529"/>
    <mergeCell ref="A530:B531"/>
    <mergeCell ref="A568:E568"/>
    <mergeCell ref="A534:B534"/>
    <mergeCell ref="C535:C537"/>
    <mergeCell ref="C569:D569"/>
    <mergeCell ref="H359:H360"/>
    <mergeCell ref="H352:H353"/>
    <mergeCell ref="B360:C363"/>
    <mergeCell ref="H345:H346"/>
    <mergeCell ref="B352:C352"/>
    <mergeCell ref="B366:C366"/>
    <mergeCell ref="B345:C345"/>
    <mergeCell ref="H403:H404"/>
    <mergeCell ref="H395:H396"/>
    <mergeCell ref="A234:C234"/>
    <mergeCell ref="A206:E206"/>
    <mergeCell ref="A115:C115"/>
    <mergeCell ref="A343:C343"/>
    <mergeCell ref="A121:C121"/>
    <mergeCell ref="A193:C193"/>
    <mergeCell ref="A170:C170"/>
    <mergeCell ref="A280:C280"/>
    <mergeCell ref="A41:B41"/>
    <mergeCell ref="C41:D41"/>
    <mergeCell ref="C42:D42"/>
    <mergeCell ref="A43:B43"/>
    <mergeCell ref="A49:E49"/>
    <mergeCell ref="A51:C51"/>
    <mergeCell ref="A42:B42"/>
    <mergeCell ref="A45:E45"/>
    <mergeCell ref="C43:D43"/>
    <mergeCell ref="B403:C403"/>
    <mergeCell ref="B404:C406"/>
    <mergeCell ref="B396:C400"/>
    <mergeCell ref="A146:E146"/>
    <mergeCell ref="B375:C378"/>
    <mergeCell ref="H381:H382"/>
    <mergeCell ref="B359:C359"/>
    <mergeCell ref="A191:E191"/>
    <mergeCell ref="H366:H367"/>
    <mergeCell ref="H374:H375"/>
    <mergeCell ref="H388:H389"/>
    <mergeCell ref="B417:C420"/>
    <mergeCell ref="B424:C427"/>
    <mergeCell ref="H409:H410"/>
    <mergeCell ref="H416:H417"/>
    <mergeCell ref="B389:C392"/>
    <mergeCell ref="B388:C388"/>
    <mergeCell ref="B395:C395"/>
    <mergeCell ref="B410:C413"/>
    <mergeCell ref="B409:C409"/>
    <mergeCell ref="H454:H455"/>
    <mergeCell ref="B455:C457"/>
    <mergeCell ref="H437:H438"/>
    <mergeCell ref="B438:C444"/>
    <mergeCell ref="B423:C423"/>
    <mergeCell ref="H485:H486"/>
    <mergeCell ref="B461:C464"/>
    <mergeCell ref="H467:H468"/>
    <mergeCell ref="H447:H448"/>
    <mergeCell ref="B460:C460"/>
    <mergeCell ref="H489:H490"/>
    <mergeCell ref="A476:B477"/>
    <mergeCell ref="A448:A451"/>
    <mergeCell ref="A455:A457"/>
    <mergeCell ref="C490:C491"/>
    <mergeCell ref="A486:B486"/>
    <mergeCell ref="H480:H481"/>
    <mergeCell ref="H475:H476"/>
    <mergeCell ref="H460:H461"/>
    <mergeCell ref="A475:B475"/>
    <mergeCell ref="H675:H676"/>
    <mergeCell ref="H635:H636"/>
    <mergeCell ref="H509:H510"/>
    <mergeCell ref="H500:H501"/>
    <mergeCell ref="B596:C596"/>
    <mergeCell ref="H494:H495"/>
    <mergeCell ref="A576:B576"/>
    <mergeCell ref="A573:B573"/>
    <mergeCell ref="C571:D571"/>
    <mergeCell ref="A540:B540"/>
    <mergeCell ref="T632:W632"/>
    <mergeCell ref="T502:X503"/>
    <mergeCell ref="H664:H665"/>
    <mergeCell ref="H517:H518"/>
    <mergeCell ref="H657:H658"/>
    <mergeCell ref="H644:H645"/>
    <mergeCell ref="H540:H541"/>
    <mergeCell ref="H523:H524"/>
    <mergeCell ref="H505:H506"/>
    <mergeCell ref="H628:H629"/>
    <mergeCell ref="A575:B575"/>
    <mergeCell ref="H671:H672"/>
    <mergeCell ref="A481:B482"/>
    <mergeCell ref="A490:B491"/>
    <mergeCell ref="A489:B489"/>
    <mergeCell ref="A585:E585"/>
    <mergeCell ref="C575:D575"/>
    <mergeCell ref="A581:B581"/>
    <mergeCell ref="B604:C604"/>
    <mergeCell ref="A644:B644"/>
    <mergeCell ref="A571:B571"/>
    <mergeCell ref="A480:B480"/>
    <mergeCell ref="A503:B503"/>
    <mergeCell ref="A510:B514"/>
    <mergeCell ref="A485:B485"/>
    <mergeCell ref="A499:B499"/>
    <mergeCell ref="A541:B541"/>
    <mergeCell ref="A517:B517"/>
    <mergeCell ref="A545:B545"/>
    <mergeCell ref="A548:B548"/>
    <mergeCell ref="A705:B705"/>
    <mergeCell ref="A683:B683"/>
    <mergeCell ref="A684:B684"/>
    <mergeCell ref="A628:B628"/>
    <mergeCell ref="A704:B704"/>
    <mergeCell ref="A657:B657"/>
    <mergeCell ref="A643:B643"/>
    <mergeCell ref="A645:B649"/>
    <mergeCell ref="A679:B679"/>
    <mergeCell ref="B431:C434"/>
    <mergeCell ref="A715:B716"/>
    <mergeCell ref="A699:B699"/>
    <mergeCell ref="A713:B713"/>
    <mergeCell ref="A623:E623"/>
    <mergeCell ref="A714:B714"/>
    <mergeCell ref="A706:B706"/>
    <mergeCell ref="A700:B700"/>
    <mergeCell ref="A663:B663"/>
    <mergeCell ref="A636:B641"/>
    <mergeCell ref="A672:B672"/>
    <mergeCell ref="A719:B719"/>
    <mergeCell ref="A651:B651"/>
    <mergeCell ref="B586:C586"/>
    <mergeCell ref="B605:C605"/>
    <mergeCell ref="B592:C592"/>
    <mergeCell ref="A624:E624"/>
    <mergeCell ref="A635:B635"/>
    <mergeCell ref="B590:C590"/>
    <mergeCell ref="A656:B656"/>
    <mergeCell ref="A674:B674"/>
    <mergeCell ref="C629:C632"/>
    <mergeCell ref="A680:B682"/>
    <mergeCell ref="A658:B661"/>
    <mergeCell ref="A633:B633"/>
    <mergeCell ref="A664:B664"/>
    <mergeCell ref="A676:B676"/>
    <mergeCell ref="A655:B655"/>
    <mergeCell ref="A634:B634"/>
    <mergeCell ref="A665:B668"/>
    <mergeCell ref="C7:D7"/>
    <mergeCell ref="C6:D6"/>
    <mergeCell ref="A6:B6"/>
    <mergeCell ref="A9:B9"/>
    <mergeCell ref="C9:D9"/>
    <mergeCell ref="A671:B671"/>
    <mergeCell ref="C645:C649"/>
    <mergeCell ref="A626:E626"/>
    <mergeCell ref="A617:E617"/>
    <mergeCell ref="B599:C599"/>
    <mergeCell ref="A410:A413"/>
    <mergeCell ref="C34:D34"/>
    <mergeCell ref="A1:E1"/>
    <mergeCell ref="A2:C2"/>
    <mergeCell ref="A4:E4"/>
    <mergeCell ref="A3:C3"/>
    <mergeCell ref="A5:D5"/>
    <mergeCell ref="A7:B7"/>
    <mergeCell ref="A8:B8"/>
    <mergeCell ref="C8:D8"/>
    <mergeCell ref="A103:C103"/>
    <mergeCell ref="C35:D35"/>
    <mergeCell ref="A572:B572"/>
    <mergeCell ref="B595:C595"/>
    <mergeCell ref="C13:D13"/>
    <mergeCell ref="C11:D11"/>
    <mergeCell ref="C22:D22"/>
    <mergeCell ref="A583:E583"/>
    <mergeCell ref="A44:B44"/>
    <mergeCell ref="A31:D31"/>
    <mergeCell ref="C17:D17"/>
    <mergeCell ref="A11:B11"/>
    <mergeCell ref="B430:C430"/>
    <mergeCell ref="A32:B32"/>
    <mergeCell ref="C32:D32"/>
    <mergeCell ref="C33:D33"/>
    <mergeCell ref="A40:B40"/>
    <mergeCell ref="A38:B38"/>
    <mergeCell ref="A35:B35"/>
    <mergeCell ref="A148:C148"/>
    <mergeCell ref="A19:B19"/>
    <mergeCell ref="C25:D25"/>
    <mergeCell ref="C12:D12"/>
    <mergeCell ref="C10:D10"/>
    <mergeCell ref="A25:B25"/>
    <mergeCell ref="A12:B12"/>
    <mergeCell ref="A14:B14"/>
    <mergeCell ref="C14:D14"/>
    <mergeCell ref="A16:B16"/>
    <mergeCell ref="A10:B10"/>
    <mergeCell ref="A39:B39"/>
    <mergeCell ref="C40:D40"/>
    <mergeCell ref="A13:B13"/>
    <mergeCell ref="C15:D15"/>
    <mergeCell ref="A15:B15"/>
    <mergeCell ref="C16:D16"/>
    <mergeCell ref="A17:B17"/>
    <mergeCell ref="D30:E30"/>
    <mergeCell ref="A18:B18"/>
    <mergeCell ref="C19:D19"/>
    <mergeCell ref="A68:C68"/>
    <mergeCell ref="A71:C71"/>
    <mergeCell ref="C20:D20"/>
    <mergeCell ref="C18:D18"/>
    <mergeCell ref="A127:C127"/>
    <mergeCell ref="A132:E132"/>
    <mergeCell ref="A107:C107"/>
    <mergeCell ref="A47:E47"/>
    <mergeCell ref="A34:B34"/>
    <mergeCell ref="C38:D38"/>
    <mergeCell ref="A66:E66"/>
    <mergeCell ref="A46:E46"/>
    <mergeCell ref="C39:D39"/>
    <mergeCell ref="C44:D44"/>
    <mergeCell ref="A37:B37"/>
    <mergeCell ref="A165:C165"/>
    <mergeCell ref="A134:C134"/>
    <mergeCell ref="A96:C96"/>
    <mergeCell ref="A82:C82"/>
    <mergeCell ref="A87:C87"/>
    <mergeCell ref="A197:C197"/>
    <mergeCell ref="A241:E241"/>
    <mergeCell ref="A243:C243"/>
    <mergeCell ref="A178:E178"/>
    <mergeCell ref="A180:C180"/>
    <mergeCell ref="A287:E287"/>
    <mergeCell ref="A247:C247"/>
    <mergeCell ref="A276:C276"/>
    <mergeCell ref="A227:E227"/>
    <mergeCell ref="A229:C229"/>
    <mergeCell ref="A360:A363"/>
    <mergeCell ref="B374:C374"/>
    <mergeCell ref="A353:A356"/>
    <mergeCell ref="A301:E301"/>
    <mergeCell ref="B365:C365"/>
    <mergeCell ref="B358:C358"/>
    <mergeCell ref="A308:C308"/>
    <mergeCell ref="A316:C316"/>
    <mergeCell ref="B346:C349"/>
    <mergeCell ref="B357:C357"/>
    <mergeCell ref="A468:A471"/>
    <mergeCell ref="B448:C451"/>
    <mergeCell ref="A494:B494"/>
    <mergeCell ref="A396:A400"/>
    <mergeCell ref="A431:A434"/>
    <mergeCell ref="B416:C416"/>
    <mergeCell ref="A424:A427"/>
    <mergeCell ref="A438:A444"/>
    <mergeCell ref="B453:C453"/>
    <mergeCell ref="B437:C437"/>
    <mergeCell ref="C37:D37"/>
    <mergeCell ref="A404:A406"/>
    <mergeCell ref="A208:C208"/>
    <mergeCell ref="A211:C211"/>
    <mergeCell ref="A219:E219"/>
    <mergeCell ref="A389:A392"/>
    <mergeCell ref="A256:C256"/>
    <mergeCell ref="A262:C262"/>
    <mergeCell ref="B381:C381"/>
    <mergeCell ref="B367:C371"/>
    <mergeCell ref="C481:C482"/>
    <mergeCell ref="A500:B500"/>
    <mergeCell ref="B447:C447"/>
    <mergeCell ref="A33:B33"/>
    <mergeCell ref="A346:A349"/>
    <mergeCell ref="B351:C351"/>
    <mergeCell ref="A367:A371"/>
    <mergeCell ref="A113:E113"/>
    <mergeCell ref="C36:D36"/>
    <mergeCell ref="A461:A464"/>
    <mergeCell ref="B468:C471"/>
    <mergeCell ref="C476:C477"/>
    <mergeCell ref="A417:A420"/>
    <mergeCell ref="A505:B505"/>
    <mergeCell ref="A504:B504"/>
    <mergeCell ref="A501:B502"/>
    <mergeCell ref="B467:C467"/>
    <mergeCell ref="B454:C454"/>
    <mergeCell ref="C501:C502"/>
    <mergeCell ref="C495:C497"/>
    <mergeCell ref="C680:C682"/>
    <mergeCell ref="A653:B654"/>
    <mergeCell ref="A506:B506"/>
    <mergeCell ref="C572:D572"/>
    <mergeCell ref="B598:C598"/>
    <mergeCell ref="B587:C587"/>
    <mergeCell ref="A613:E613"/>
    <mergeCell ref="C579:D579"/>
    <mergeCell ref="A579:B579"/>
    <mergeCell ref="C636:C641"/>
    <mergeCell ref="H652:H653"/>
    <mergeCell ref="H685:H686"/>
    <mergeCell ref="H679:H680"/>
    <mergeCell ref="H706:H707"/>
    <mergeCell ref="A675:B675"/>
    <mergeCell ref="A670:B670"/>
    <mergeCell ref="C702:C703"/>
    <mergeCell ref="H701:H702"/>
    <mergeCell ref="A652:B652"/>
    <mergeCell ref="C697:C698"/>
    <mergeCell ref="H714:H715"/>
    <mergeCell ref="C738:C739"/>
    <mergeCell ref="A738:B739"/>
    <mergeCell ref="A724:B724"/>
    <mergeCell ref="H696:H697"/>
    <mergeCell ref="C720:C721"/>
    <mergeCell ref="A718:B718"/>
    <mergeCell ref="A696:B696"/>
    <mergeCell ref="A697:B698"/>
    <mergeCell ref="H719:H720"/>
    <mergeCell ref="H724:H725"/>
    <mergeCell ref="A743:B743"/>
    <mergeCell ref="A733:B734"/>
    <mergeCell ref="C733:C734"/>
    <mergeCell ref="A723:B723"/>
    <mergeCell ref="H732:H733"/>
    <mergeCell ref="A732:B732"/>
    <mergeCell ref="A731:B731"/>
    <mergeCell ref="C725:C729"/>
    <mergeCell ref="A725:B729"/>
    <mergeCell ref="A756:B756"/>
    <mergeCell ref="A746:B746"/>
    <mergeCell ref="A747:B747"/>
    <mergeCell ref="A750:B750"/>
    <mergeCell ref="A752:B752"/>
    <mergeCell ref="A753:B753"/>
    <mergeCell ref="A751:B751"/>
    <mergeCell ref="H775:H776"/>
    <mergeCell ref="A774:B774"/>
    <mergeCell ref="A775:B775"/>
    <mergeCell ref="F757:G757"/>
    <mergeCell ref="A742:B742"/>
    <mergeCell ref="A741:B741"/>
    <mergeCell ref="A758:B758"/>
    <mergeCell ref="A755:B755"/>
    <mergeCell ref="A749:B749"/>
    <mergeCell ref="C763:C765"/>
    <mergeCell ref="B610:C610"/>
    <mergeCell ref="C578:D578"/>
    <mergeCell ref="A720:B721"/>
    <mergeCell ref="C715:C716"/>
    <mergeCell ref="A737:B737"/>
    <mergeCell ref="A702:B703"/>
    <mergeCell ref="C658:C661"/>
    <mergeCell ref="A736:B736"/>
    <mergeCell ref="C580:D580"/>
    <mergeCell ref="C665:C668"/>
    <mergeCell ref="A495:B497"/>
    <mergeCell ref="A685:B685"/>
    <mergeCell ref="C653:C654"/>
    <mergeCell ref="A629:B632"/>
    <mergeCell ref="A701:B701"/>
    <mergeCell ref="A578:B578"/>
    <mergeCell ref="C510:C514"/>
    <mergeCell ref="C577:D577"/>
    <mergeCell ref="A615:E615"/>
    <mergeCell ref="B611:C611"/>
    <mergeCell ref="A163:E163"/>
    <mergeCell ref="A153:C153"/>
    <mergeCell ref="A184:C184"/>
    <mergeCell ref="C576:D576"/>
    <mergeCell ref="B353:C356"/>
    <mergeCell ref="A254:E254"/>
    <mergeCell ref="A274:E274"/>
    <mergeCell ref="A289:C289"/>
    <mergeCell ref="A293:C293"/>
    <mergeCell ref="A303:C303"/>
    <mergeCell ref="A36:B36"/>
    <mergeCell ref="A788:B790"/>
    <mergeCell ref="C788:C790"/>
    <mergeCell ref="A782:B782"/>
    <mergeCell ref="A783:B783"/>
    <mergeCell ref="A784:B784"/>
    <mergeCell ref="A769:B772"/>
    <mergeCell ref="A787:B787"/>
    <mergeCell ref="A786:B786"/>
    <mergeCell ref="A80:E80"/>
    <mergeCell ref="A767:B767"/>
    <mergeCell ref="A793:B793"/>
    <mergeCell ref="A794:B794"/>
    <mergeCell ref="A20:B20"/>
    <mergeCell ref="C21:D21"/>
    <mergeCell ref="A21:B21"/>
    <mergeCell ref="A22:B22"/>
    <mergeCell ref="B607:C607"/>
    <mergeCell ref="B608:C608"/>
    <mergeCell ref="A580:B580"/>
    <mergeCell ref="H529:H530"/>
    <mergeCell ref="H534:H535"/>
    <mergeCell ref="C24:D24"/>
    <mergeCell ref="A24:B24"/>
    <mergeCell ref="B382:C385"/>
    <mergeCell ref="A382:A385"/>
    <mergeCell ref="C518:C520"/>
    <mergeCell ref="A518:B520"/>
    <mergeCell ref="A375:A378"/>
    <mergeCell ref="C530:C531"/>
    <mergeCell ref="A796:B796"/>
    <mergeCell ref="A797:B797"/>
    <mergeCell ref="A798:B798"/>
    <mergeCell ref="A792:B792"/>
    <mergeCell ref="C769:C772"/>
    <mergeCell ref="A776:B780"/>
    <mergeCell ref="C776:C780"/>
    <mergeCell ref="A577:B577"/>
    <mergeCell ref="C570:D570"/>
    <mergeCell ref="A509:B509"/>
    <mergeCell ref="A569:B569"/>
    <mergeCell ref="C573:D573"/>
    <mergeCell ref="A321:E321"/>
    <mergeCell ref="A323:C323"/>
    <mergeCell ref="A328:C328"/>
    <mergeCell ref="A335:C335"/>
    <mergeCell ref="A338:C338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1" manualBreakCount="11">
    <brk id="64" max="4" man="1"/>
    <brk id="126" max="4" man="1"/>
    <brk id="189" max="4" man="1"/>
    <brk id="252" max="4" man="1"/>
    <brk id="315" max="4" man="1"/>
    <brk id="413" max="4" man="1"/>
    <brk id="491" max="4" man="1"/>
    <brk id="567" max="4" man="1"/>
    <brk id="641" max="4" man="1"/>
    <brk id="721" max="4" man="1"/>
    <brk id="7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3.140625" style="0" customWidth="1"/>
    <col min="2" max="2" width="69.8515625" style="29" customWidth="1"/>
    <col min="3" max="3" width="24.8515625" style="0" customWidth="1"/>
    <col min="4" max="4" width="9.140625" style="0" hidden="1" customWidth="1"/>
    <col min="5" max="5" width="119.7109375" style="0" customWidth="1"/>
  </cols>
  <sheetData>
    <row r="1" spans="1:3" ht="16.5">
      <c r="A1" s="403" t="s">
        <v>85</v>
      </c>
      <c r="B1" s="403"/>
      <c r="C1" s="403"/>
    </row>
    <row r="2" spans="1:2" ht="12.75">
      <c r="A2" s="34" t="str">
        <f>scrap!A2</f>
        <v>E - Auction Notice No. -</v>
      </c>
      <c r="B2" s="33" t="str">
        <f>scrap!D2</f>
        <v>EA-58 /PTA-2023-24</v>
      </c>
    </row>
    <row r="3" spans="1:2" ht="12.75">
      <c r="A3" s="34" t="str">
        <f>scrap!A3</f>
        <v>Date of Auction -</v>
      </c>
      <c r="B3" s="33" t="str">
        <f>scrap!D3</f>
        <v>19.12.2023</v>
      </c>
    </row>
    <row r="4" spans="1:2" ht="12.75">
      <c r="A4" s="34"/>
      <c r="B4" s="33"/>
    </row>
    <row r="5" spans="1:3" s="30" customFormat="1" ht="20.25" customHeight="1">
      <c r="A5" s="96" t="s">
        <v>5</v>
      </c>
      <c r="B5" s="97" t="s">
        <v>82</v>
      </c>
      <c r="C5" s="96" t="s">
        <v>83</v>
      </c>
    </row>
    <row r="6" spans="1:5" s="30" customFormat="1" ht="20.25" customHeight="1">
      <c r="A6" s="108" t="s">
        <v>284</v>
      </c>
      <c r="B6" s="144" t="s">
        <v>164</v>
      </c>
      <c r="C6" s="51">
        <v>228</v>
      </c>
      <c r="E6" s="141" t="str">
        <f aca="true" t="shared" si="0" ref="E6:E16">CONCATENATE("E-Waste Scrap (Meter scrap), Lying at ",B6,". Quantity in Kg - ",C6,)</f>
        <v>E-Waste Scrap (Meter scrap), Lying at ME LAB PATIALA (Crushed Meter Scrap/E-Waste). Quantity in Kg - 228</v>
      </c>
    </row>
    <row r="7" spans="1:5" s="30" customFormat="1" ht="20.25" customHeight="1">
      <c r="A7" s="108" t="s">
        <v>285</v>
      </c>
      <c r="B7" s="144" t="s">
        <v>154</v>
      </c>
      <c r="C7" s="51">
        <v>310</v>
      </c>
      <c r="E7" s="141" t="str">
        <f t="shared" si="0"/>
        <v>E-Waste Scrap (Meter scrap), Lying at ME LAB SANGRUR (Crushed Meter Scrap/E-Waste). Quantity in Kg - 310</v>
      </c>
    </row>
    <row r="8" spans="1:5" s="30" customFormat="1" ht="20.25" customHeight="1">
      <c r="A8" s="108" t="s">
        <v>286</v>
      </c>
      <c r="B8" s="154" t="s">
        <v>155</v>
      </c>
      <c r="C8" s="263">
        <v>127</v>
      </c>
      <c r="D8" s="30">
        <v>55</v>
      </c>
      <c r="E8" s="141" t="str">
        <f t="shared" si="0"/>
        <v>E-Waste Scrap (Meter scrap), Lying at ME LAB ROPAR (Crushed Meter Scrap/E-Waste). Quantity in Kg - 127</v>
      </c>
    </row>
    <row r="9" spans="1:5" s="30" customFormat="1" ht="20.25" customHeight="1">
      <c r="A9" s="108" t="s">
        <v>287</v>
      </c>
      <c r="B9" s="144" t="s">
        <v>282</v>
      </c>
      <c r="C9" s="51">
        <v>625.39</v>
      </c>
      <c r="E9" s="141" t="str">
        <f t="shared" si="0"/>
        <v>E-Waste Scrap (Meter scrap), Lying at ME LAB MOGA (Crushed Meter Scrap/E-Waste). Quantity in Kg - 625.39</v>
      </c>
    </row>
    <row r="10" spans="1:5" s="30" customFormat="1" ht="20.25" customHeight="1">
      <c r="A10" s="108" t="s">
        <v>288</v>
      </c>
      <c r="B10" s="144" t="s">
        <v>283</v>
      </c>
      <c r="C10" s="51">
        <v>1364.12</v>
      </c>
      <c r="E10" s="141" t="str">
        <f t="shared" si="0"/>
        <v>E-Waste Scrap (Meter scrap), Lying at ME LAB SHRI MUKTSAR SAHIB (Crushed Meter Scrap/E-Waste). Quantity in Kg - 1364.12</v>
      </c>
    </row>
    <row r="11" spans="1:5" s="30" customFormat="1" ht="20.25" customHeight="1">
      <c r="A11" s="108" t="s">
        <v>404</v>
      </c>
      <c r="B11" s="146" t="s">
        <v>160</v>
      </c>
      <c r="C11" s="90">
        <v>1270</v>
      </c>
      <c r="D11" s="155"/>
      <c r="E11" s="141" t="str">
        <f t="shared" si="0"/>
        <v>E-Waste Scrap (Meter scrap), Lying at ME LAB PATIALA  (Electronic Meter Scrap/E-Waste )  . Quantity in Kg - 1270</v>
      </c>
    </row>
    <row r="12" spans="1:5" s="30" customFormat="1" ht="20.25" customHeight="1">
      <c r="A12" s="108" t="s">
        <v>405</v>
      </c>
      <c r="B12" s="146" t="s">
        <v>161</v>
      </c>
      <c r="C12" s="90">
        <v>2404</v>
      </c>
      <c r="E12" s="141" t="str">
        <f t="shared" si="0"/>
        <v>E-Waste Scrap (Meter scrap), Lying at ME LAB ROPAR  (Electronic Meter Scrap/E-Waste )  . Quantity in Kg - 2404</v>
      </c>
    </row>
    <row r="13" spans="1:5" s="30" customFormat="1" ht="20.25" customHeight="1">
      <c r="A13" s="108" t="s">
        <v>406</v>
      </c>
      <c r="B13" s="146" t="s">
        <v>291</v>
      </c>
      <c r="C13" s="223">
        <v>1715</v>
      </c>
      <c r="E13" s="224" t="str">
        <f t="shared" si="0"/>
        <v>E-Waste Scrap (Meter scrap), Lying at ME LAB SANGRUR  (Electronic Meter Scrap/E-Waste )  . Quantity in Kg - 1715</v>
      </c>
    </row>
    <row r="14" spans="1:5" s="30" customFormat="1" ht="20.25" customHeight="1">
      <c r="A14" s="108" t="s">
        <v>407</v>
      </c>
      <c r="B14" s="146" t="s">
        <v>401</v>
      </c>
      <c r="C14" s="90">
        <v>2564.19</v>
      </c>
      <c r="D14" s="225"/>
      <c r="E14" s="141" t="str">
        <f t="shared" si="0"/>
        <v>E-Waste Scrap (Meter scrap), Lying at ME LAB BATHINDA  (Electronic Meter Scrap/E-Waste )  . Quantity in Kg - 2564.19</v>
      </c>
    </row>
    <row r="15" spans="1:5" s="30" customFormat="1" ht="20.25" customHeight="1">
      <c r="A15" s="108" t="s">
        <v>422</v>
      </c>
      <c r="B15" s="146" t="s">
        <v>402</v>
      </c>
      <c r="C15" s="90">
        <v>1096.507</v>
      </c>
      <c r="D15" s="225"/>
      <c r="E15" s="141" t="str">
        <f t="shared" si="0"/>
        <v>E-Waste Scrap (Meter scrap), Lying at ME LAB MOGA (Electronic Meter Scrap/E-Waste )  . Quantity in Kg - 1096.507</v>
      </c>
    </row>
    <row r="16" spans="1:5" s="30" customFormat="1" ht="20.25" customHeight="1">
      <c r="A16" s="108" t="s">
        <v>476</v>
      </c>
      <c r="B16" s="146" t="s">
        <v>403</v>
      </c>
      <c r="C16" s="90">
        <v>1450.865</v>
      </c>
      <c r="D16" s="225"/>
      <c r="E16" s="141" t="str">
        <f t="shared" si="0"/>
        <v>E-Waste Scrap (Meter scrap), Lying at ME LAB SHRI MUKSAR SAHIB  (Electronic Meter Scrap/E-Waste )  . Quantity in Kg - 1450.865</v>
      </c>
    </row>
    <row r="17" spans="1:5" s="30" customFormat="1" ht="20.25" customHeight="1">
      <c r="A17" s="292"/>
      <c r="B17" s="105"/>
      <c r="C17" s="293"/>
      <c r="D17" s="294"/>
      <c r="E17" s="295"/>
    </row>
    <row r="18" spans="1:5" s="30" customFormat="1" ht="37.5" customHeight="1">
      <c r="A18" s="404" t="s">
        <v>483</v>
      </c>
      <c r="B18" s="404"/>
      <c r="C18" s="404"/>
      <c r="D18" s="296"/>
      <c r="E18" s="296"/>
    </row>
    <row r="19" spans="1:5" s="30" customFormat="1" ht="20.25" customHeight="1">
      <c r="A19" s="404"/>
      <c r="B19" s="404"/>
      <c r="C19" s="404"/>
      <c r="D19" s="297"/>
      <c r="E19" s="297"/>
    </row>
    <row r="20" spans="1:5" s="30" customFormat="1" ht="39.75" customHeight="1">
      <c r="A20" s="404"/>
      <c r="B20" s="404"/>
      <c r="C20" s="404"/>
      <c r="D20" s="294"/>
      <c r="E20" s="295"/>
    </row>
    <row r="21" spans="1:5" s="30" customFormat="1" ht="15" customHeight="1">
      <c r="A21" s="299"/>
      <c r="B21" s="241" t="s">
        <v>220</v>
      </c>
      <c r="C21" s="96" t="s">
        <v>482</v>
      </c>
      <c r="D21" s="294"/>
      <c r="E21" s="295"/>
    </row>
    <row r="22" spans="1:5" s="30" customFormat="1" ht="20.25" customHeight="1">
      <c r="A22" s="108" t="s">
        <v>477</v>
      </c>
      <c r="B22" s="298" t="s">
        <v>480</v>
      </c>
      <c r="C22" s="300">
        <v>1</v>
      </c>
      <c r="D22" s="294"/>
      <c r="E22" s="141" t="str">
        <f>CONCATENATE("E-Waste Scrap (U/S AC WINDOW), Lying at ",B22,". Quantity in No - ",C22,)</f>
        <v>E-Waste Scrap (U/S AC WINDOW), Lying at CS SANGRUR (U/S AC WINDOW). Quantity in No - 1</v>
      </c>
    </row>
    <row r="23" spans="1:5" s="30" customFormat="1" ht="20.25" customHeight="1">
      <c r="A23" s="108" t="s">
        <v>478</v>
      </c>
      <c r="B23" s="298" t="s">
        <v>481</v>
      </c>
      <c r="C23" s="300">
        <v>14</v>
      </c>
      <c r="D23" s="294"/>
      <c r="E23" s="141" t="str">
        <f>CONCATENATE("E-Waste Scrap (U/S AC WINDOW), Lying at ",B23,". Quantity in No - ",C23,)</f>
        <v>E-Waste Scrap (U/S AC WINDOW), Lying at CS PATIALA  (U/S AC WINDOW). Quantity in No - 14</v>
      </c>
    </row>
    <row r="24" spans="1:5" s="30" customFormat="1" ht="20.25" customHeight="1">
      <c r="A24" s="108" t="s">
        <v>479</v>
      </c>
      <c r="B24" s="298" t="s">
        <v>493</v>
      </c>
      <c r="C24" s="300">
        <v>18</v>
      </c>
      <c r="D24" s="294"/>
      <c r="E24" s="141" t="str">
        <f>CONCATENATE("E-Waste Scrap (U/S STABLIZERS), Lying at ",B24,". Quantity in No - ",C24,)</f>
        <v>E-Waste Scrap (U/S STABLIZERS), Lying at CS PATIALA  (U/S STABLIZERS). Quantity in No - 18</v>
      </c>
    </row>
    <row r="25" spans="1:3" s="30" customFormat="1" ht="15" customHeight="1">
      <c r="A25" s="41"/>
      <c r="B25" s="42"/>
      <c r="C25" s="105"/>
    </row>
    <row r="26" spans="1:3" s="30" customFormat="1" ht="15">
      <c r="A26" s="35" t="s">
        <v>84</v>
      </c>
      <c r="B26" s="36" t="s">
        <v>88</v>
      </c>
      <c r="C26" s="37" t="s">
        <v>87</v>
      </c>
    </row>
    <row r="27" spans="1:3" s="30" customFormat="1" ht="15">
      <c r="A27" s="35" t="s">
        <v>86</v>
      </c>
      <c r="B27" s="35" t="s">
        <v>86</v>
      </c>
      <c r="C27" s="35" t="s">
        <v>86</v>
      </c>
    </row>
    <row r="28" spans="1:3" s="30" customFormat="1" ht="13.5">
      <c r="A28" s="31"/>
      <c r="B28" s="32"/>
      <c r="C28" s="31"/>
    </row>
  </sheetData>
  <sheetProtection/>
  <mergeCells count="2">
    <mergeCell ref="A1:C1"/>
    <mergeCell ref="A18:C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2023-12-14T11:11:01Z</cp:lastPrinted>
  <dcterms:created xsi:type="dcterms:W3CDTF">1996-10-14T23:33:28Z</dcterms:created>
  <dcterms:modified xsi:type="dcterms:W3CDTF">2023-12-15T11:05:55Z</dcterms:modified>
  <cp:category/>
  <cp:version/>
  <cp:contentType/>
  <cp:contentStatus/>
</cp:coreProperties>
</file>