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6180" tabRatio="924" activeTab="0"/>
  </bookViews>
  <sheets>
    <sheet name="scrap" sheetId="1" r:id="rId1"/>
    <sheet name="E-WASTE" sheetId="2" r:id="rId2"/>
  </sheets>
  <definedNames>
    <definedName name="_xlnm.Print_Area" localSheetId="1">'E-WASTE'!$A$1:$C$28</definedName>
  </definedNames>
  <calcPr fullCalcOnLoad="1"/>
</workbook>
</file>

<file path=xl/sharedStrings.xml><?xml version="1.0" encoding="utf-8"?>
<sst xmlns="http://schemas.openxmlformats.org/spreadsheetml/2006/main" count="1994" uniqueCount="713">
  <si>
    <t>A - Aluminium Conductor Steel Reinforced Scrap</t>
  </si>
  <si>
    <t>Registration no. of Vehicle</t>
  </si>
  <si>
    <t>Type of vehicle/ Model</t>
  </si>
  <si>
    <t>Present Location of vehicle</t>
  </si>
  <si>
    <t>Name of the office to which it relates/ Phone no. of the person to be contacted.</t>
  </si>
  <si>
    <t>Lot No.</t>
  </si>
  <si>
    <t>Name of Store where material is lying</t>
  </si>
  <si>
    <t>Quantity in MT</t>
  </si>
  <si>
    <t>I) Misc. items scrap lying as per detail given:-</t>
  </si>
  <si>
    <t>E - Auction Notice No. -</t>
  </si>
  <si>
    <t>Date of Auction -</t>
  </si>
  <si>
    <t>H- Damaged Distribution Transformer's HT/LT Aluminium coils scrap with insulation</t>
  </si>
  <si>
    <t>B)- Damaged Distribution Transformer's HT/LT Aluminium coils scrap with insulation</t>
  </si>
  <si>
    <t>E)  Miscellaneous Iron scrap</t>
  </si>
  <si>
    <t>G.Total</t>
  </si>
  <si>
    <t>K- Damaged Distribution Transformer's HT/LT Aluminium coils scrap with insulation</t>
  </si>
  <si>
    <t>J) Aluminium Conductor Steel Reinforced Scrap</t>
  </si>
  <si>
    <t xml:space="preserve">Name of Store </t>
  </si>
  <si>
    <t>Description of material</t>
  </si>
  <si>
    <t>Pilot W/Shop Sri Muktsar Sahib</t>
  </si>
  <si>
    <t>MS iron scrap / GI scrap</t>
  </si>
  <si>
    <t>Lot no. E - 1</t>
  </si>
  <si>
    <t xml:space="preserve">D) Misc.  Cable scrap </t>
  </si>
  <si>
    <t>Brass scrap</t>
  </si>
  <si>
    <t>Misc. Aluminium scrap</t>
  </si>
  <si>
    <t xml:space="preserve"> Q  Miscellaneous Healthy parts/ Non ferrous scrap material</t>
  </si>
  <si>
    <t>Lot no. Q-3</t>
  </si>
  <si>
    <t>Iron scrap</t>
  </si>
  <si>
    <t>TRY Malerkotla</t>
  </si>
  <si>
    <t>MS iron scrap</t>
  </si>
  <si>
    <t>Lot no. E - 2</t>
  </si>
  <si>
    <t>Misc. Alumn. Scrap</t>
  </si>
  <si>
    <t>All Alumn. Conductor Scrap</t>
  </si>
  <si>
    <t>Lot no. E - 3</t>
  </si>
  <si>
    <t>Lot no. Q-1</t>
  </si>
  <si>
    <t>Lot no. D-1</t>
  </si>
  <si>
    <t>TRY Bathinda</t>
  </si>
  <si>
    <t>Burnt Cu scrap</t>
  </si>
  <si>
    <t>Lot no. Q-4</t>
  </si>
  <si>
    <t>Lot no. Q-6</t>
  </si>
  <si>
    <t>Lot no. Q-7</t>
  </si>
  <si>
    <t>Burnt Aluminium scrap</t>
  </si>
  <si>
    <t>TRY Ferozepur</t>
  </si>
  <si>
    <t>CS Kotkapura</t>
  </si>
  <si>
    <t>Lot no. Q-10</t>
  </si>
  <si>
    <t>Misc. Copper scrap</t>
  </si>
  <si>
    <t>OL store Ropar</t>
  </si>
  <si>
    <t>Burnt copper scrap</t>
  </si>
  <si>
    <t>Lot no. Q-5</t>
  </si>
  <si>
    <t>L)  Condemned/obsolete Vehicles * (Without RC )</t>
  </si>
  <si>
    <t xml:space="preserve">M-LOT -  Three phase Copper/ Aluminium and single phase copper/ Alu wound Damaged Distribution Transformers As Per Actual Site Condition </t>
  </si>
  <si>
    <t>Lot no. E - 4</t>
  </si>
  <si>
    <t>CS Patiala</t>
  </si>
  <si>
    <t>Lot no. Q-11</t>
  </si>
  <si>
    <t>Pilot Workshop Mohali</t>
  </si>
  <si>
    <t>HT Wire scrap &amp; other intermingled iron scrap</t>
  </si>
  <si>
    <t>MS iron scrap ( MS sections, scrapped T&amp;P etc)</t>
  </si>
  <si>
    <t>S &amp; T Store Bathinda</t>
  </si>
  <si>
    <t>Nuts &amp; Bolts scrap</t>
  </si>
  <si>
    <t>OL Mansa</t>
  </si>
  <si>
    <t>Transformer body scrap</t>
  </si>
  <si>
    <t>MS Rail scrap</t>
  </si>
  <si>
    <t>CS Mohali</t>
  </si>
  <si>
    <t>CS Bathinda</t>
  </si>
  <si>
    <t>Teen Patra scrap</t>
  </si>
  <si>
    <t>Lot no. E - 5</t>
  </si>
  <si>
    <t>Lot no. E - 6</t>
  </si>
  <si>
    <t>Lot no. E - 7</t>
  </si>
  <si>
    <t>Lot no. E - 8</t>
  </si>
  <si>
    <t>Quantity in No</t>
  </si>
  <si>
    <t>Disc Insulator Scrap</t>
  </si>
  <si>
    <t>HT wire scrap off size</t>
  </si>
  <si>
    <t>Controller of Stores &amp; Disposal (South), PSPCL, Patiala</t>
  </si>
  <si>
    <t>Lot No B-1</t>
  </si>
  <si>
    <t>Lot No A-1</t>
  </si>
  <si>
    <t xml:space="preserve"> Iron scrap</t>
  </si>
  <si>
    <t>Quantity No</t>
  </si>
  <si>
    <t>CT/PT Units</t>
  </si>
  <si>
    <t>Lot no. I-1</t>
  </si>
  <si>
    <t>CS Sangrur</t>
  </si>
  <si>
    <t>Lot no. Q-8</t>
  </si>
  <si>
    <t>E-Waste Scrap(Meter Scrap) lying at</t>
  </si>
  <si>
    <t>Quantity ( in Kg.)</t>
  </si>
  <si>
    <t>A.O/Disposal</t>
  </si>
  <si>
    <r>
      <t xml:space="preserve">PUNJAB STATE POWER CORPORATION LIMITED  </t>
    </r>
    <r>
      <rPr>
        <b/>
        <sz val="11"/>
        <color indexed="8"/>
        <rFont val="Comic Sans MS"/>
        <family val="4"/>
      </rPr>
      <t xml:space="preserve">         </t>
    </r>
  </si>
  <si>
    <t>Patiala</t>
  </si>
  <si>
    <t>COS&amp;D(South)</t>
  </si>
  <si>
    <t>Sr Xen/Disposal</t>
  </si>
  <si>
    <t>PB-11 AH-0925</t>
  </si>
  <si>
    <t>SHAKTI VIHAR SHEDS PSPCL PATIALA</t>
  </si>
  <si>
    <t>2/core PVC Alumn. Cable scrap</t>
  </si>
  <si>
    <t>4/core PVC Alumn. Cable scrap</t>
  </si>
  <si>
    <t>3/ core XLPE Alu cable scrap</t>
  </si>
  <si>
    <t>Lot no. D-2</t>
  </si>
  <si>
    <t>Lot no. D-3</t>
  </si>
  <si>
    <t>CS Malout</t>
  </si>
  <si>
    <t>Lot no. D-4</t>
  </si>
  <si>
    <t>1/ core XLPE Alu cable scrap</t>
  </si>
  <si>
    <t>OL Ropar</t>
  </si>
  <si>
    <t>CS Ferozepur</t>
  </si>
  <si>
    <t>OL Bhagta Bhai Ka</t>
  </si>
  <si>
    <t>OL store Patran</t>
  </si>
  <si>
    <t>OL Patran</t>
  </si>
  <si>
    <t>OL Rajpura</t>
  </si>
  <si>
    <t>OL Nabha</t>
  </si>
  <si>
    <t>HONDA CIVIC CAR (PETROL) 2008</t>
  </si>
  <si>
    <t xml:space="preserve">NOTE : Before lifting of Transformers (From Lot no. ), HT/LT copper winding coils of transformers shall be mutilated by the purchaser. </t>
  </si>
  <si>
    <t xml:space="preserve">C -  Three phase Copper/ Aluminium and single phase copper/ Aluminium wound Damaged Distribution Transformers As Per Actual Site Condition </t>
  </si>
  <si>
    <t>Central Store Kotkapura</t>
  </si>
  <si>
    <t>L-1</t>
  </si>
  <si>
    <t>Lot no. Q-2</t>
  </si>
  <si>
    <t>Misc. copper scrap</t>
  </si>
  <si>
    <t>OL Fazilka</t>
  </si>
  <si>
    <t>G.TOTAL</t>
  </si>
  <si>
    <t>Lot No A-2</t>
  </si>
  <si>
    <t>Lot no. Q-12</t>
  </si>
  <si>
    <t>OL store Malerkotla</t>
  </si>
  <si>
    <t>Lot no. Q-13</t>
  </si>
  <si>
    <t>Lot no. Q-14</t>
  </si>
  <si>
    <t>Lot no. E - 10</t>
  </si>
  <si>
    <t>TRY Patiala</t>
  </si>
  <si>
    <t>Lot no. I-2</t>
  </si>
  <si>
    <t>Lot No B-2</t>
  </si>
  <si>
    <t>Lot No B-3</t>
  </si>
  <si>
    <t>Lot no. G - 1</t>
  </si>
  <si>
    <t>Lot no. Q-15</t>
  </si>
  <si>
    <t>OL Malerkotla</t>
  </si>
  <si>
    <t>Lot no. G - 2</t>
  </si>
  <si>
    <t>Lot no. G - 3</t>
  </si>
  <si>
    <t>Lot no. G - 4</t>
  </si>
  <si>
    <t>Lot no. G - 5</t>
  </si>
  <si>
    <t>Lot no. G - 6</t>
  </si>
  <si>
    <t>TRY Bhagta Bhai Ka</t>
  </si>
  <si>
    <t>Lot no. Q-16</t>
  </si>
  <si>
    <t>Lot no. Q-17</t>
  </si>
  <si>
    <t>TRY Sangrur</t>
  </si>
  <si>
    <t>TRY Patran</t>
  </si>
  <si>
    <t>Lot no. G - 7</t>
  </si>
  <si>
    <t>Lot no. G - 8</t>
  </si>
  <si>
    <t>Lot no. G - 9</t>
  </si>
  <si>
    <t>Lot no. G - 10</t>
  </si>
  <si>
    <t>Lot no. Q-18</t>
  </si>
  <si>
    <t>Earthwire GSL scrap</t>
  </si>
  <si>
    <t>TRY Ropar</t>
  </si>
  <si>
    <t>Lot no. G - 11</t>
  </si>
  <si>
    <t>Outlet store Shri Muktsar sahib</t>
  </si>
  <si>
    <t>OL Shri Muktsar Sahib</t>
  </si>
  <si>
    <t>Ms Nuts &amp; Bolts</t>
  </si>
  <si>
    <t>PB-05 F-9520</t>
  </si>
  <si>
    <t>MINI TRUCK EICHER DIESEL (1999)</t>
  </si>
  <si>
    <t>DS S/D MAMDOT S/D FEROZEPUR</t>
  </si>
  <si>
    <t>L-2</t>
  </si>
  <si>
    <t>ME LAB SANGRUR (Crushed Meter Scrap/E-Waste)</t>
  </si>
  <si>
    <t>ME LAB ROPAR (Crushed Meter Scrap/E-Waste)</t>
  </si>
  <si>
    <t>L-3</t>
  </si>
  <si>
    <t>PB-03 N-5547</t>
  </si>
  <si>
    <t>AMBASSADOR CAR DIESEL (2005)</t>
  </si>
  <si>
    <t>DS DIVISION BADAL</t>
  </si>
  <si>
    <t>Lot No B-5</t>
  </si>
  <si>
    <t>Central Store Patiala</t>
  </si>
  <si>
    <t>ME LAB PATIALA (Crushed Meter Scrap/E-Waste)</t>
  </si>
  <si>
    <t>Lot No A-3</t>
  </si>
  <si>
    <t>Lot No A-5</t>
  </si>
  <si>
    <t>Lot No A-7</t>
  </si>
  <si>
    <t>TRY Malout</t>
  </si>
  <si>
    <t>Lot No B-8</t>
  </si>
  <si>
    <t>TRY Mansa</t>
  </si>
  <si>
    <t>Lot no. D-7</t>
  </si>
  <si>
    <t>ABC cable scrap (70/95 mm)</t>
  </si>
  <si>
    <t>Lot no. D-8</t>
  </si>
  <si>
    <t>Lot no. D-9</t>
  </si>
  <si>
    <t>1/core PVC Alumn. Cable scrap</t>
  </si>
  <si>
    <t>Lot no. D-10</t>
  </si>
  <si>
    <t>Lot no. D-11</t>
  </si>
  <si>
    <t>Lot no. D-12</t>
  </si>
  <si>
    <t>Lot no. E - 9</t>
  </si>
  <si>
    <t>Lot no. E - 14</t>
  </si>
  <si>
    <t>Lot no. E - 15</t>
  </si>
  <si>
    <t>Lot No A-4</t>
  </si>
  <si>
    <t>Outlet store Malerkotla</t>
  </si>
  <si>
    <t>Lot No A-6</t>
  </si>
  <si>
    <t>Outlet store Patran</t>
  </si>
  <si>
    <t>Outlet store Barnala</t>
  </si>
  <si>
    <t>Lot No A-9</t>
  </si>
  <si>
    <t>Lot No A-10</t>
  </si>
  <si>
    <t>Outlet store Ropar</t>
  </si>
  <si>
    <t>Outlet store Mansa</t>
  </si>
  <si>
    <t>Lot No B-6</t>
  </si>
  <si>
    <t>Lead seal scrap with lash wire</t>
  </si>
  <si>
    <t>Lot no. D-5</t>
  </si>
  <si>
    <t>OL Barnala</t>
  </si>
  <si>
    <t>Lot no. D-6</t>
  </si>
  <si>
    <t>Lot no. E - 18</t>
  </si>
  <si>
    <t>G.I. scrap</t>
  </si>
  <si>
    <t>Lot no. Q-23</t>
  </si>
  <si>
    <t>Lot no. Q-24</t>
  </si>
  <si>
    <t>Lot no. Q-19</t>
  </si>
  <si>
    <t>Lot no. I-3</t>
  </si>
  <si>
    <t>G.I. Scrap</t>
  </si>
  <si>
    <t>M.S. Nuts &amp; Bolts Scrap</t>
  </si>
  <si>
    <t>Lot no. E - 11</t>
  </si>
  <si>
    <t>CS Kotkapura  (.237 MT Intermingle)</t>
  </si>
  <si>
    <t>Lot No A-8</t>
  </si>
  <si>
    <t>Lot no. Q-20</t>
  </si>
  <si>
    <t>Lot No A-11</t>
  </si>
  <si>
    <t>Lot No B-4</t>
  </si>
  <si>
    <t>Lot no. I-4</t>
  </si>
  <si>
    <t>Lot no. E - 12</t>
  </si>
  <si>
    <t>Lot no. E - 13</t>
  </si>
  <si>
    <t>Central Store Sangrur</t>
  </si>
  <si>
    <t>Lot no. Q-21</t>
  </si>
  <si>
    <t>Lot no. D-14</t>
  </si>
  <si>
    <t xml:space="preserve">S.Report No. </t>
  </si>
  <si>
    <t xml:space="preserve">No of T/Fs </t>
  </si>
  <si>
    <t>Cap. in KVA</t>
  </si>
  <si>
    <t>Description</t>
  </si>
  <si>
    <t>Indicative Design Wt. of Core &amp; Winding (KG)</t>
  </si>
  <si>
    <t>Three Phase Aluminium Wound T/F</t>
  </si>
  <si>
    <t xml:space="preserve">10 KVA </t>
  </si>
  <si>
    <t>WNP =27 (unstandard tf's)</t>
  </si>
  <si>
    <t>WNP =25 (unstandard tf's)</t>
  </si>
  <si>
    <t>WNP =14 (unstandard tf's)</t>
  </si>
  <si>
    <t>TRY Moga</t>
  </si>
  <si>
    <t>Three Phase Copper Wound T/F</t>
  </si>
  <si>
    <t>6.3 KVA</t>
  </si>
  <si>
    <t>10 KVA</t>
  </si>
  <si>
    <t>WNP-25 (unstandard tf's)</t>
  </si>
  <si>
    <t>WNP-18 (unstandard tf's)</t>
  </si>
  <si>
    <t>16 KVA</t>
  </si>
  <si>
    <t>Single Phase Copper Wound T/F</t>
  </si>
  <si>
    <t>Single Phase Aluminium Wound T/F</t>
  </si>
  <si>
    <t>Outlet store Rajpura</t>
  </si>
  <si>
    <t>25 KVA</t>
  </si>
  <si>
    <r>
      <t xml:space="preserve">Following Scrap Material is Offered for On-Line Forward E-Auction at the above mentioned date as per the prevailing PSPCL's Terms &amp; Conditions of the E-Auction Sale ( available on PSPCL web site www.pspcl.in) on </t>
    </r>
    <r>
      <rPr>
        <b/>
        <sz val="12"/>
        <rFont val="Arial"/>
        <family val="2"/>
      </rPr>
      <t>"As - Is - Where - Is " basis.</t>
    </r>
  </si>
  <si>
    <t>Lot no. Q-22</t>
  </si>
  <si>
    <t>Lot no. Q-25</t>
  </si>
  <si>
    <t xml:space="preserve">6.3 KVA </t>
  </si>
  <si>
    <t xml:space="preserve">16 KVA </t>
  </si>
  <si>
    <t>WNP-1  (unstandard tf's)</t>
  </si>
  <si>
    <t>WNP-1 (unstandard tf's)</t>
  </si>
  <si>
    <t>WNP-3 (unstandard tf's)</t>
  </si>
  <si>
    <t>63 KVA</t>
  </si>
  <si>
    <r>
      <t xml:space="preserve">Lot No. C 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</si>
  <si>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Lot no. D-13</t>
  </si>
  <si>
    <t>100 KVA</t>
  </si>
  <si>
    <t xml:space="preserve"> WNP=1 (unstandard tf's)</t>
  </si>
  <si>
    <t>ABC cable scrap (150 mm)</t>
  </si>
  <si>
    <t>TRY Kotkapura</t>
  </si>
  <si>
    <t>Lot No B-7</t>
  </si>
  <si>
    <t>Lot no. Q-26</t>
  </si>
  <si>
    <t>Lot No B-9</t>
  </si>
  <si>
    <t>Lot no. D-15</t>
  </si>
  <si>
    <t>Lot no. D-16</t>
  </si>
  <si>
    <t xml:space="preserve"> </t>
  </si>
  <si>
    <t>…. CE/ TA &amp; I PSPCL PATIALA 96461-19587</t>
  </si>
  <si>
    <t>….. DS S/D MAMDOT PSPCL FEROZEPUR MOB 9646114589</t>
  </si>
  <si>
    <t>….. DS DIVISION BADAL 96461-14534</t>
  </si>
  <si>
    <t>STAR-1, STAR/TA=01,STAR/JB-1, ,JAY BEE=2,SONI=01,DURGA/JB=01, DURGA/SIC-1,NUCON=1,MUBASA/JB=01,SVASCA=01,SWASTIK/HR POWER-1, SWASTIK/JB-2,,LIBERTY/KB=01,SIC/JB=01,SARAF/ELECTRA=01,DM/PME=01,TA=01,TMR/PME=01</t>
  </si>
  <si>
    <t>WNP-27 (unstandard tf's)</t>
  </si>
  <si>
    <t>WNP-26 (unstandard tf's)</t>
  </si>
  <si>
    <t>WNP-30 (unstandard tf's)</t>
  </si>
  <si>
    <t>PTEL-1</t>
  </si>
  <si>
    <t>Outlet store Fazilka</t>
  </si>
  <si>
    <t>Lot No B-10</t>
  </si>
  <si>
    <t>Lot no. D17</t>
  </si>
  <si>
    <t>Lot no. Q-27</t>
  </si>
  <si>
    <t>Outlet store Moga</t>
  </si>
  <si>
    <t>Lot No A-12</t>
  </si>
  <si>
    <t>Lot no. D18</t>
  </si>
  <si>
    <t>OL Moga</t>
  </si>
  <si>
    <t>Lot no. Q-28</t>
  </si>
  <si>
    <t>ME LAB MOGA (Crushed Meter Scrap/E-Waste)</t>
  </si>
  <si>
    <t>ME LAB SHRI MUKTSAR SAHIB (Crushed Meter Scrap/E-Waste)</t>
  </si>
  <si>
    <t>Lot No. I-10</t>
  </si>
  <si>
    <t>Lot No. I-11</t>
  </si>
  <si>
    <t>Lot No. I-12</t>
  </si>
  <si>
    <t>Lot No. I-13</t>
  </si>
  <si>
    <t>Lot No. I-14</t>
  </si>
  <si>
    <t>Lot no. I-5</t>
  </si>
  <si>
    <t>Empty steel drums (cap.209 ltr.)</t>
  </si>
  <si>
    <t>50/2023</t>
  </si>
  <si>
    <t>SKYWAY-3, PP-1,JB-1, NUCON-1, ARDI-1</t>
  </si>
  <si>
    <t>51/2023</t>
  </si>
  <si>
    <t>JB-1, UP T/F-1, SICL-1, TA-1</t>
  </si>
  <si>
    <t>TA-1</t>
  </si>
  <si>
    <t>52/2023</t>
  </si>
  <si>
    <t>53/2023</t>
  </si>
  <si>
    <t>G)  Wooden scrap (without iron parts) lying as per detail given below:-</t>
  </si>
  <si>
    <t>PP-1, SICL-1, MCPL-1</t>
  </si>
  <si>
    <t>SARAF-1, SICL-2, PP-1, NUCON-1,DURA-2, SHIVALIK-3</t>
  </si>
  <si>
    <t>WNP-8  (unstandard tf's)</t>
  </si>
  <si>
    <t>Central Store Bathinda</t>
  </si>
  <si>
    <t>Lot no. I-6</t>
  </si>
  <si>
    <r>
      <t xml:space="preserve">Lot No. C 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</si>
  <si>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>DAUSA - 1, PTEL - 1, SIC-1</t>
  </si>
  <si>
    <t>SARAF - 2, PP - 1</t>
  </si>
  <si>
    <t>WNP-14 (unstandard tf's)</t>
  </si>
  <si>
    <t>WNP-7 (unstandard tf's)</t>
  </si>
  <si>
    <r>
      <t xml:space="preserve">Lot No. C 10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</si>
  <si>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t>SHIVALIK-1</t>
  </si>
  <si>
    <t>SICL-1, AGGARWAL-1, SHIVALIK-4</t>
  </si>
  <si>
    <t>JB-1</t>
  </si>
  <si>
    <t>WNP-10  (unstandard tf's)</t>
  </si>
  <si>
    <t>WNP-5 (unstandard tf's)</t>
  </si>
  <si>
    <t>WNP-2 (unstandard tf's)</t>
  </si>
  <si>
    <t>SICL-3, PTEL-2, PP-1, JB-1, ECO-1, NBGL-1, NUCON-1, SHIVALIK-11</t>
  </si>
  <si>
    <t>PTEL-3, PP-3</t>
  </si>
  <si>
    <t>SICL-2</t>
  </si>
  <si>
    <t>ECO-1, SICL-1</t>
  </si>
  <si>
    <t xml:space="preserve"> WNP=25 (unstandard tf's)</t>
  </si>
  <si>
    <t xml:space="preserve"> WNP=29 (unstandard tf's)</t>
  </si>
  <si>
    <t>NUCON-2</t>
  </si>
  <si>
    <t>NUCON-1,SHIVALIK-1,PAN-2,JR-2,PUNJAB-1,ASI-1</t>
  </si>
  <si>
    <t>SARAF-1,JB-2,PTEL-1</t>
  </si>
  <si>
    <t>SHIV BHOLE/PTEL-1, IACL/TA-1, STAR/PTEL-1</t>
  </si>
  <si>
    <t>DM/TA-1, GOYMA/PTEL-1, PP-1</t>
  </si>
  <si>
    <t>Lot No A-13</t>
  </si>
  <si>
    <t>Lot No A-14</t>
  </si>
  <si>
    <t>Lot no. E - 16</t>
  </si>
  <si>
    <t>Lot No A-15</t>
  </si>
  <si>
    <t>Lot No A-16</t>
  </si>
  <si>
    <t>Central Store Malout</t>
  </si>
  <si>
    <t>Lot no. I-7</t>
  </si>
  <si>
    <t>OL Shri Mukfsar Sahib</t>
  </si>
  <si>
    <t>Lot No. I-15</t>
  </si>
  <si>
    <t>TRY Barnala</t>
  </si>
  <si>
    <t>ARDISON-1,SKYWAY-1,UTTAM-2</t>
  </si>
  <si>
    <t>NUCON-1,MS-1</t>
  </si>
  <si>
    <t xml:space="preserve"> WNP=19 (unstandard tf's)</t>
  </si>
  <si>
    <t>ARD-1,WNP-19 ( unstandard tf's)</t>
  </si>
  <si>
    <t>JB-1,WNP-11 (unstandard tf's)</t>
  </si>
  <si>
    <t>Alu.  seals scrap with lash wire</t>
  </si>
  <si>
    <t>Lot no. I-8</t>
  </si>
  <si>
    <t>KKK/2023/157</t>
  </si>
  <si>
    <t xml:space="preserve">NPC = 2, HRP = 2, JK = 1, MRN = 1, JB = 3, DTPL = 3, PP = 1, SIC = 1, JR = 1, WNP = 1, SHK = 1, SSK = 1, TA = 1, PTEL = 1                </t>
  </si>
  <si>
    <t>KKK/2023/160</t>
  </si>
  <si>
    <t xml:space="preserve">DTPL = 6, JB = 1, ASI = 2, PP = 2, SUSHIL = 1, MUSKAN = 1,  HTT = 1, UBE = 1, JR = 2, WNP = 1                                                      </t>
  </si>
  <si>
    <t>KKK/2023/162</t>
  </si>
  <si>
    <t xml:space="preserve">UBE = 1, PP = 2, SKSU = 1, NSL = 1, TA = 1, NPC = 1                </t>
  </si>
  <si>
    <t>KKK/2023/165</t>
  </si>
  <si>
    <t xml:space="preserve">NPC = 1, TA = 2, SHK = 2, MRN = 1, HRP = 1, DTPL = 1, SEF = 1, PP = 1                                                                                          </t>
  </si>
  <si>
    <t>KKK/2023/159</t>
  </si>
  <si>
    <t xml:space="preserve">EPS = 6, SIC = 1, JB = 7, PTEL = 1, ARD = 3                           </t>
  </si>
  <si>
    <t>KKK/2023/164</t>
  </si>
  <si>
    <t>25 KVA (BODY &amp; CORE)</t>
  </si>
  <si>
    <t xml:space="preserve">PTEL = 2, TA = 1, NPC = 3, SEF = 2                                              </t>
  </si>
  <si>
    <t>KKK/2023/166</t>
  </si>
  <si>
    <t xml:space="preserve">SIC = 1, ECE = 1, JB = 1                                                                               </t>
  </si>
  <si>
    <t>KKK/2023/167</t>
  </si>
  <si>
    <t xml:space="preserve">SEF = 1, WNP = 1                                                                              </t>
  </si>
  <si>
    <t>KKK/2023/161</t>
  </si>
  <si>
    <t xml:space="preserve">WNP =20.(unstandard tf's)                                                                     </t>
  </si>
  <si>
    <t>KKK/2023/163</t>
  </si>
  <si>
    <t xml:space="preserve">WNP =1.(unstandard tf's)                                                                     </t>
  </si>
  <si>
    <t>KKK/2023/168</t>
  </si>
  <si>
    <t xml:space="preserve">WNP =6.(unstandard tf's)                                                                     </t>
  </si>
  <si>
    <t>KKK/2023/158</t>
  </si>
  <si>
    <t xml:space="preserve">6.3  KVA                  </t>
  </si>
  <si>
    <t xml:space="preserve">WNP =8.(unstandard tf's)                                                                     </t>
  </si>
  <si>
    <t xml:space="preserve">10 KVA             </t>
  </si>
  <si>
    <t>PP -1</t>
  </si>
  <si>
    <t>PP-1, RR-1, SARAF-1, SHIVALIK-2</t>
  </si>
  <si>
    <t xml:space="preserve">WNP =2.(unstandard tf's)                                                                     </t>
  </si>
  <si>
    <t>SICL-3, PTEL-7, BGL-1, JB-2, ECO-1, PVJ-1, NBGL-1, MS-1, PP-1, JINDAL-1,DURA-1</t>
  </si>
  <si>
    <t>dtpl-1,pp-2,kissan-1,saraf-1</t>
  </si>
  <si>
    <t>ptel-1</t>
  </si>
  <si>
    <t>pp-1</t>
  </si>
  <si>
    <t xml:space="preserve">mcpl-1,wnp-1.(unstandard tf's)   </t>
  </si>
  <si>
    <t xml:space="preserve">WNP =5.(unstandard tf's)                                                                     </t>
  </si>
  <si>
    <t>DTPL - 2 , MRN - 1, TA-1</t>
  </si>
  <si>
    <t>NUCON - 1</t>
  </si>
  <si>
    <t>SARAF-1, MRN - 1</t>
  </si>
  <si>
    <t xml:space="preserve">WNP =27.(unstandard tf's)                                                                     </t>
  </si>
  <si>
    <t xml:space="preserve">WNP =3.(unstandard tf's)                                                                     </t>
  </si>
  <si>
    <t>AA - LT ABC Cable scrap without insulation:-</t>
  </si>
  <si>
    <t>Lot No AA-1</t>
  </si>
  <si>
    <t>U/S Tyres</t>
  </si>
  <si>
    <t>U/S Tubes</t>
  </si>
  <si>
    <t>CS SANGRUR (U/S AC WINDOW)</t>
  </si>
  <si>
    <t>CS PATIALA  (U/S AC WINDOW)</t>
  </si>
  <si>
    <t>Quantity ( in No.)</t>
  </si>
  <si>
    <r>
      <rPr>
        <b/>
        <u val="single"/>
        <sz val="14"/>
        <color indexed="8"/>
        <rFont val="Calibri"/>
        <family val="2"/>
      </rPr>
      <t>(I) E-Waste Material lying in Central Store Patiala,Central Store Sangrur as per detail given below :-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              </t>
    </r>
    <r>
      <rPr>
        <b/>
        <u val="single"/>
        <sz val="16"/>
        <color indexed="8"/>
        <rFont val="Calibri"/>
        <family val="2"/>
      </rPr>
      <t>Note:-</t>
    </r>
    <r>
      <rPr>
        <b/>
        <sz val="14"/>
        <color indexed="8"/>
        <rFont val="Calibri"/>
        <family val="2"/>
      </rPr>
      <t xml:space="preserve"> Bidders holding valid authorisation under E-waste (Management) Rules, 2016 as amended in 2018 for dismantling, recycling and refurbishing of E-waste are allowed to participate in E-auction of E-waste. Bid initiated by any other bidder for purchase of E-waste material without holding above mentioned authorisation will not be considered. </t>
    </r>
  </si>
  <si>
    <t>Tubular Poles</t>
  </si>
  <si>
    <t>Lot no. E - 17</t>
  </si>
  <si>
    <t>All Alum scrap</t>
  </si>
  <si>
    <t>Alu scrap of damaged T/F accessories</t>
  </si>
  <si>
    <t>Copper scrap</t>
  </si>
  <si>
    <t>Piller box scrap</t>
  </si>
  <si>
    <t>Iron scrap of Bush fixings</t>
  </si>
  <si>
    <t>CS PATIALA  (U/S STABLIZERS)</t>
  </si>
  <si>
    <r>
      <t xml:space="preserve">Lot No. C 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</si>
  <si>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</si>
  <si>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</si>
  <si>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</si>
  <si>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</si>
  <si>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</si>
  <si>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 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</si>
  <si>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r>
      <t xml:space="preserve">Lot No. C 11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</si>
  <si>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12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</si>
  <si>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13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</si>
  <si>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SHRI KRISHNA-1,SARAF-1</t>
  </si>
  <si>
    <t>AGGARWAL-7,GTB-1,HR-1,JB-1,JR-2,MS-5,SICL-2,SUSHIL-2, UTTAM-3</t>
  </si>
  <si>
    <t>SICL-1,NUCON-1,JB-1,MUSKAN-1,VKG-1</t>
  </si>
  <si>
    <t>WNP-23 (unstandard tf's)</t>
  </si>
  <si>
    <t>WNP-17 (unstandard tf's)</t>
  </si>
  <si>
    <t>Lot No AA-2</t>
  </si>
  <si>
    <t>Lot No. I-16</t>
  </si>
  <si>
    <t>Lot No. I-17</t>
  </si>
  <si>
    <t>Lot No. I-18</t>
  </si>
  <si>
    <t>25 KVA (CORE &amp; TANK)</t>
  </si>
  <si>
    <t xml:space="preserve">ME LAB ROPAR  (Electronic Meter Scrap/E-Waste )  </t>
  </si>
  <si>
    <t>HR-1</t>
  </si>
  <si>
    <t>HR-1, PP-1, SHIVALIK-4</t>
  </si>
  <si>
    <t>WNP-4  (unstandard tf's)</t>
  </si>
  <si>
    <t>JB-4, PAN-1, PTEL-3, SICL-1, MCPL-2, SARAF-1, NUCON-1, DURABLE-1, SHIV SHAKTI-1, SHIVALIK-5</t>
  </si>
  <si>
    <t>DTPL-1</t>
  </si>
  <si>
    <t>PP-2, ARD-1,PTEL-1,SARAF-1</t>
  </si>
  <si>
    <t>WNP-19 (unstandard tf's)</t>
  </si>
  <si>
    <t>63 KVA (CORE &amp; TANK)</t>
  </si>
  <si>
    <t>SARAF-2, MRN-2, PP-2, JR-1, PTEL-1, NPC-1,SIC-1</t>
  </si>
  <si>
    <t>Tubular Poles scrap</t>
  </si>
  <si>
    <t xml:space="preserve">ME LAB BATHINDA  (Electronic Meter Scrap/E-Waste )  </t>
  </si>
  <si>
    <t xml:space="preserve">ME LAB MOGA (Electronic Meter Scrap/E-Waste )  </t>
  </si>
  <si>
    <t>Lot No. I-19</t>
  </si>
  <si>
    <t>Lot No. I-20</t>
  </si>
  <si>
    <t>Lot no. Q-29</t>
  </si>
  <si>
    <t>CS Ferozepur (.015 MT Intermingle)</t>
  </si>
  <si>
    <t>Lot No A-18</t>
  </si>
  <si>
    <t>Lot no. G - 12</t>
  </si>
  <si>
    <t>OL Shri Mukatsar Sahib</t>
  </si>
  <si>
    <t>JINDAL-1, PP-3,SIC-1,JAY BEE-1,ECO POWER-1,SARAF-2,SKYWAY-1,NUCON-1</t>
  </si>
  <si>
    <t>PME-5,TA-6,PP-1,MRN-3,JAY BEE-5,SAPA-2,ELECTRA-2,JR-1</t>
  </si>
  <si>
    <t>CAPITAL-4,ELECTRA-4,JR-1,TA-4,SARAF-2,JAY BEE-2,PME-5,MARSON-2,PTEL-1</t>
  </si>
  <si>
    <t>PME-5, BHOPAL-2,SIC-1,ELECTRA-2,TA-4,JAY BEE-4,JR-2</t>
  </si>
  <si>
    <t>MRN-3,JR-4,SARAF-5,PME-5,PTEL-2,JAY BEE-4,ELECTRA-4,TA-3</t>
  </si>
  <si>
    <t xml:space="preserve">25 KVA </t>
  </si>
  <si>
    <t xml:space="preserve">63 KVA </t>
  </si>
  <si>
    <t xml:space="preserve">100 KVA </t>
  </si>
  <si>
    <t>WNP-22 (unstandard tf's)</t>
  </si>
  <si>
    <t>WNP-11 (unstandard tf's)</t>
  </si>
  <si>
    <t>PTEL 1, NUCON 3, NPC 3, SKYWAY 1, JR 2, SHRIKRISNA 1, SHIVA WELD 2, PP 2, TA 2</t>
  </si>
  <si>
    <t>SICL 2, JR 3, MAHASHKTI 1, AGARWAL 1, UTTAM 1</t>
  </si>
  <si>
    <t>JB 3, SICL 8, ARDISON 1, PTEL 1, ECO 2</t>
  </si>
  <si>
    <t>JR 1, JB 1</t>
  </si>
  <si>
    <t>SAPA 1, SHIVSHKTI 1</t>
  </si>
  <si>
    <t>JB 2, NPC 2</t>
  </si>
  <si>
    <t>UTTAM 1, SHIVSHKTI 1</t>
  </si>
  <si>
    <t>63 KVA (amorphous core)</t>
  </si>
  <si>
    <t>NUCON 2, NPC 1,</t>
  </si>
  <si>
    <t>JB 1</t>
  </si>
  <si>
    <t>NUCON 1, SICL 2, MANU 2</t>
  </si>
  <si>
    <t>Lot no. G - 13</t>
  </si>
  <si>
    <t>PP 1, JR 1, NUCON 1(unstandard tf's)</t>
  </si>
  <si>
    <t>PP 1, SHIVSHKTI 1, KISAN 1 (unstandard tf's)</t>
  </si>
  <si>
    <t>Lot no. E - 19</t>
  </si>
  <si>
    <t>G.I. Wire/GSL scrap</t>
  </si>
  <si>
    <t>Lot No B-11</t>
  </si>
  <si>
    <t>KKK/2023/170</t>
  </si>
  <si>
    <t xml:space="preserve">DTPL = 8, MRN = 3, TA = 1, PTEL = 2, SKY WAY = 1, SHK = 1, HRP = 1, NPC = 1, PP = 2                                                                    </t>
  </si>
  <si>
    <t>KKK/2023/175</t>
  </si>
  <si>
    <t xml:space="preserve">UBE = 1, NPC = 3, SKY WAY = 1, DTPL = 1                                  </t>
  </si>
  <si>
    <t>KKK/2023/176</t>
  </si>
  <si>
    <t xml:space="preserve">PP = 1, PTEL = 1, NSL = 1, SUSHIL = 1, JB = 1, DTPL = 1, JR = 1 </t>
  </si>
  <si>
    <t>KKK/2023/177</t>
  </si>
  <si>
    <t xml:space="preserve">WNP = 01 NO. (unstandard tf's)                                                                                         </t>
  </si>
  <si>
    <t>KKK/2023/179</t>
  </si>
  <si>
    <t xml:space="preserve">PP = 1, MRN = 1, SEF = 1, SHK = 1, HRP = 1, SIC = 1                  </t>
  </si>
  <si>
    <t>KKK/2023/174</t>
  </si>
  <si>
    <t xml:space="preserve">SIC = 2, PTEL = 2, EPS = 4, JB = 2, ARD = 3, SBJ = 1 </t>
  </si>
  <si>
    <t>KKK/2023/173</t>
  </si>
  <si>
    <t xml:space="preserve">TA = 1, ACCURATE = 1                                                                                  </t>
  </si>
  <si>
    <t>KKK/2023/180</t>
  </si>
  <si>
    <t xml:space="preserve">WNP = 5, SEF = 1, ECE = 1, JB = 2, TA = 1                                            </t>
  </si>
  <si>
    <t>KKK/2023/169</t>
  </si>
  <si>
    <t xml:space="preserve">WNP = 09 NO.(unstandard tf's)                                                                       </t>
  </si>
  <si>
    <t>KKK/2023/171</t>
  </si>
  <si>
    <t xml:space="preserve">WNP = 16 NO. (unstandard tf's)                                                                     </t>
  </si>
  <si>
    <t>KKK/2023/172</t>
  </si>
  <si>
    <t xml:space="preserve">16  KVA                     </t>
  </si>
  <si>
    <t xml:space="preserve">WNP = 05 NO.  (unstandard tf's)                                                                     </t>
  </si>
  <si>
    <t>KKK/2023/178</t>
  </si>
  <si>
    <t xml:space="preserve">PTEL = 1, NSL = 1, VIJAI = 1, NPC = 1, SIC = 2 </t>
  </si>
  <si>
    <t xml:space="preserve">10   KVA                  </t>
  </si>
  <si>
    <t>10  KVA</t>
  </si>
  <si>
    <t>SICL-1,MAHASHAKTI-1,SKYWAY-1,NPC-1</t>
  </si>
  <si>
    <t>UTTAM-2,SICL-1,NUCON-2,SBI-1,MAHASHAKTI-1,TA-1</t>
  </si>
  <si>
    <t>JB-2</t>
  </si>
  <si>
    <t>SHIVSHAKTI-2,SICL-1</t>
  </si>
  <si>
    <t>200 KVA</t>
  </si>
  <si>
    <t>PME-1</t>
  </si>
  <si>
    <t>SE-2(unstandard tf's)</t>
  </si>
  <si>
    <t>SE-1(unstandard tf's)</t>
  </si>
  <si>
    <t>Lot no. E - 20</t>
  </si>
  <si>
    <t>Lot no. E - 21</t>
  </si>
  <si>
    <t>Lot no. G - 14</t>
  </si>
  <si>
    <t>M.S Iron scrap</t>
  </si>
  <si>
    <t>NUCON-3,MAHASHAKTI-5,MANUPOWER-1,SICL-1</t>
  </si>
  <si>
    <t>Lot no. E - 22</t>
  </si>
  <si>
    <t>Lot no. E - 23</t>
  </si>
  <si>
    <t>Lot No B-12</t>
  </si>
  <si>
    <t>Lot No B-13</t>
  </si>
  <si>
    <t xml:space="preserve">10  KVA                   </t>
  </si>
  <si>
    <t>PPI-2</t>
  </si>
  <si>
    <t>PTEL-1,UBE-1,NSL-2,JB-2,NPC-1,KSM-1</t>
  </si>
  <si>
    <t>PPI-5,MRN-1,JB-1,SST-2,NPC-2,SEF-1</t>
  </si>
  <si>
    <t>AMN=2</t>
  </si>
  <si>
    <t>NSL-2</t>
  </si>
  <si>
    <t>ARD-2,SBJ-1</t>
  </si>
  <si>
    <t>SIC-1,NSL-1,UBE-1</t>
  </si>
  <si>
    <t>JR-1, JB-3, TA-1, ELECTRA-1, SIC-1, NSL-1, SEN-1</t>
  </si>
  <si>
    <t>400 KVA</t>
  </si>
  <si>
    <t>500 KVA</t>
  </si>
  <si>
    <t>58/2023</t>
  </si>
  <si>
    <t>SKYWAY=1</t>
  </si>
  <si>
    <t>59/2023</t>
  </si>
  <si>
    <t>NUCON=2</t>
  </si>
  <si>
    <t>61/2023</t>
  </si>
  <si>
    <t>SAPA=1,JR T/F=1</t>
  </si>
  <si>
    <t>NUCON=1,SICL=1</t>
  </si>
  <si>
    <t>100KVA</t>
  </si>
  <si>
    <t>MODREN T/F=1,BHOPAL=1</t>
  </si>
  <si>
    <t>60/2023</t>
  </si>
  <si>
    <t>WNP=2(unstandard tf"s))</t>
  </si>
  <si>
    <t>Lot no. G - 15</t>
  </si>
  <si>
    <t>Lot no. Q-30</t>
  </si>
  <si>
    <t>Lot No A-19</t>
  </si>
  <si>
    <t>M.S. Girder Scrap</t>
  </si>
  <si>
    <t>MS Nuts &amp; bolts scrap</t>
  </si>
  <si>
    <t>Cast Iron Scrap</t>
  </si>
  <si>
    <t>Lamination scrap</t>
  </si>
  <si>
    <t>Lot no. E - 24</t>
  </si>
  <si>
    <t>Lot no. G - 16</t>
  </si>
  <si>
    <t>OLNabha</t>
  </si>
  <si>
    <t>PTEL-1,NUCON-1</t>
  </si>
  <si>
    <t>NUCON-2,JR-3,AGGARWAL-3,MS-4,SUSHIL-2,PP-1,DAUSA-1,PUNJAB-1,DUABLE-1</t>
  </si>
  <si>
    <t xml:space="preserve">10KVA </t>
  </si>
  <si>
    <t>100 KVA (CORE &amp; TANK)</t>
  </si>
  <si>
    <t>200 KVA (CORE &amp; TANK)</t>
  </si>
  <si>
    <t>NUCON-9, JR-6, ECO-1, JB-1, AGGARWAL-2, PAN-1, MS-2, PTEL-3, SICL-2, DURA-1</t>
  </si>
  <si>
    <t>NUCON-3, JR-3, ECO-1</t>
  </si>
  <si>
    <t>STAR/TA-1, KISSAN-1, TA-1, TA/SICL-1, JB-1, LIBERTY/TA-1, HR POWER-1, STAR/MS-1, JINDAL-1</t>
  </si>
  <si>
    <t>LIBERTY/TA-1, JB/TA-1, S.KRISHNA/TA-1, SARAF/SICL-1,JM/SICL-1, DM/TA-1</t>
  </si>
  <si>
    <t>JK/TA-1, MECCA-1, JB-1, STAR/SICL-1, DM/MS-1,DM/SICL-1, DM/PP-1, JB-1</t>
  </si>
  <si>
    <t>SONI-02,JB-06,PP-01,STAR-02,PATIALA WORK SHOP-01,MUKAND-01,JK-02,SWASTIK-03,DM-01,GTB-1,LIBERTY-1,PTEL-01,NUCON-01</t>
  </si>
  <si>
    <t>WNP-16 (unstandard tf's)</t>
  </si>
  <si>
    <t>WNP-10 (unstandard tf's)</t>
  </si>
  <si>
    <t>LIBERTY -8</t>
  </si>
  <si>
    <t>AGGARWAL=2,JB=4,JR=5,MS=2,NV=1,PP=2,PTEL=1,SARAF=1,SICL=3,SK=1,SUSHIL=2,UTTAM=1</t>
  </si>
  <si>
    <t>AGGARWAL=2,ECO=2,JINDAL=1,JM=1,JR=4,,MS=4,NBGL=1,PAN=2,PP=2,PTEL=1,PVJ=1,SICL=1,   UTTAM=3</t>
  </si>
  <si>
    <t>AGGARWAL=3,ECO=2,GTB=2,HITECH=1,JB=1,JR=7,PP=4,PTEL=1,SARAF=1,SICL=1,UTTAM=2</t>
  </si>
  <si>
    <t>AGGARWAL=1,ARD=1,DURABLE=1,ECO=1,HITECH=1,JB=4,JM=2, JR=5,MS=2,MUSKAN=1,NUCON=1,PP=1,PTEL=1,SARAF=1,SICK=1,UTTAM=1</t>
  </si>
  <si>
    <t>BGL=1,ECO=1,JB=2,JM=4,JR=7,MS=4,PP=1,SARAF=1,SUSHIL=2,UTTAM=2</t>
  </si>
  <si>
    <t>AGGARWAL=1,JM=5,JR=1,MS=1,PP=3,SICL=1,SUSHIL=1</t>
  </si>
  <si>
    <t>25 KVA  (CORE &amp; TANK)</t>
  </si>
  <si>
    <t>AGGARWAL=1,ECO=2,HRP-1, JB=2,JM=6,JM=6,JR=5,MUSKAN=1,NICON=1,PP=2,SICL=2,SUSHIL=1,UTTAM=1</t>
  </si>
  <si>
    <t>LIBERTY  T/FS BATHINDA-15</t>
  </si>
  <si>
    <t>KKK/2024/001</t>
  </si>
  <si>
    <t xml:space="preserve">DTPL = 1, HRP = 1, SHK = 2, NPC = 3, JR = 1, MCPL = 1,JB = 1, TA = 1                                                                                     </t>
  </si>
  <si>
    <t>KKK/2024/003</t>
  </si>
  <si>
    <t xml:space="preserve">DTPL = 1, PP = 1, JB = 1                                                                                 </t>
  </si>
  <si>
    <t>KKK/2024/005</t>
  </si>
  <si>
    <t>KKK/2024/002</t>
  </si>
  <si>
    <t xml:space="preserve">ARD = 2, SIC = 3                                                                           </t>
  </si>
  <si>
    <t>KKK/2024/004</t>
  </si>
  <si>
    <t>KKK/2024/006</t>
  </si>
  <si>
    <t xml:space="preserve">6.3  KVA                     </t>
  </si>
  <si>
    <t xml:space="preserve">SEWAK = 01 NO. (unstandard tf's)                                                                                                </t>
  </si>
  <si>
    <t xml:space="preserve">6.3 KVA                    </t>
  </si>
  <si>
    <t xml:space="preserve">WNP = 05 NO.(unstandard tf's)                                                                          </t>
  </si>
  <si>
    <t xml:space="preserve">WNP = 04 NO. (unstandard tf's)                                                                         </t>
  </si>
  <si>
    <t xml:space="preserve">10  KVA               </t>
  </si>
  <si>
    <t>DURABALE-1</t>
  </si>
  <si>
    <t>S-KRISHNA-1 PTEL-1</t>
  </si>
  <si>
    <t>JB-2,PTEL-1</t>
  </si>
  <si>
    <t>UTTAM-1 SICL-1</t>
  </si>
  <si>
    <t>NUCON-2,TA-1,SARAF-1</t>
  </si>
  <si>
    <t>6:3 KVA</t>
  </si>
  <si>
    <t>63 KVA(CORE &amp; TANK)</t>
  </si>
  <si>
    <t>25 KVA(CORE&amp; TANK)</t>
  </si>
  <si>
    <t>25 KVA(CORE &amp; TANK)</t>
  </si>
  <si>
    <t>WNP-20 (unstandard tf's)</t>
  </si>
  <si>
    <t>WNP-4 (unstandard tf's)</t>
  </si>
  <si>
    <t>DURGA-10</t>
  </si>
  <si>
    <t>DURGA-20</t>
  </si>
  <si>
    <t>DURGA-12</t>
  </si>
  <si>
    <t>Lot No B-14</t>
  </si>
  <si>
    <t>SHIV SHAKTI-1,AGGARWAL-1,JR-1,MS-3,PP-1,SARAF-1</t>
  </si>
  <si>
    <t>SARAF-2,NUCON-2,PTEL-1</t>
  </si>
  <si>
    <t>LIBERTY-4</t>
  </si>
  <si>
    <t>TA-1,MS-1,UP-1,JB-2,ELECTRA-1,SARAF-1,SAPA-4</t>
  </si>
  <si>
    <t>JB-6,PME-2,ELECTRA-2,NUCON-3</t>
  </si>
  <si>
    <t>SHRI KRISHNA-1,JB-2,SICL-1,ELECTRA-1,PME-1</t>
  </si>
  <si>
    <t>WNP-6 (unstandard tf's)</t>
  </si>
  <si>
    <t>Lot No A-21</t>
  </si>
  <si>
    <t>Lot No B-15</t>
  </si>
  <si>
    <t>Lot No B-16</t>
  </si>
  <si>
    <t>Lot No B-17</t>
  </si>
  <si>
    <t>Lot no. E - 25</t>
  </si>
  <si>
    <t>Lot No B-18</t>
  </si>
  <si>
    <t>Lot no. Q-31</t>
  </si>
  <si>
    <t>Lot no. Q-32</t>
  </si>
  <si>
    <t>Lot no. Q-33</t>
  </si>
  <si>
    <t>UTTAM-1,WNP-15 (unstandard tf's)</t>
  </si>
  <si>
    <t>SEN-4,JB-2,ECE-1,ELECTRA-3,TA-1</t>
  </si>
  <si>
    <t>NSL-1,SIC-2,SEN-1,ELECTRA-1,PME-1</t>
  </si>
  <si>
    <t>Lot no. Q-34</t>
  </si>
  <si>
    <t>q5 lot and q 34 (out od 4.112…2 mt separate)</t>
  </si>
  <si>
    <t>Lot No B-19</t>
  </si>
  <si>
    <t>Lot No B-20</t>
  </si>
  <si>
    <t xml:space="preserve">CS Kotkapura </t>
  </si>
  <si>
    <t>Lot no. Q-9</t>
  </si>
  <si>
    <t>SICL-1</t>
  </si>
  <si>
    <t>HI TECH-1</t>
  </si>
  <si>
    <t>JR-1</t>
  </si>
  <si>
    <t>PP-1 (unstandard tf's)</t>
  </si>
  <si>
    <t>PTEL-3,  DTPL-1, NUCON-1, SICL-3, HRP-1, PPI-4, MCPL-1</t>
  </si>
  <si>
    <t>HITECH-3,JB-18,EPS-6,SONI-1,JINDAL-1,SHIVALIK-1</t>
  </si>
  <si>
    <t>JB-15,EPS-9,HITECH-5,JINDAL-1</t>
  </si>
  <si>
    <t>JB-22,HITECH-2,EPS-5,JINDAL-1</t>
  </si>
  <si>
    <t>JB-17,HITECH-4,EPS-8,JR-1</t>
  </si>
  <si>
    <t>JB-16,MP-2,JINDAL-1,EPS-10,HITECH-1</t>
  </si>
  <si>
    <t>JB-18,ARD-8,SHIVA-3,EPS-1</t>
  </si>
  <si>
    <t>JB-10,ARD-12,DURABLE-1,SHIVA-2,EPS-5</t>
  </si>
  <si>
    <t>SHIVA-5,JB-10,EPS-6,ARD-7,HITECH-1,JINDAL-1</t>
  </si>
  <si>
    <t>EPS-11,JB-10,ARD-6,SHIVA-2,HITECH-1</t>
  </si>
  <si>
    <t>EPS-2,JB-14,ARD-10,SHIVA-4</t>
  </si>
  <si>
    <t>JB-13,ARD-13,EPS-4</t>
  </si>
  <si>
    <t>EPS-10,JB-11,ARD-6,SHIVA-2,JR-1</t>
  </si>
  <si>
    <t>JB-18,EPS-7,HITECH-4,NBGL-1</t>
  </si>
  <si>
    <t>EPS-11,NBGL-1,HITECH-3,JB-14,JINDAL-1</t>
  </si>
  <si>
    <t>EPS-8,JB-17,HITECH-3,JINDAL-1,ARD-1</t>
  </si>
  <si>
    <t>JB-15,EPS-9,HITECH-3,MP-1,SHIVALIK-1,NBGL-1</t>
  </si>
  <si>
    <t>JB-13,JINDAL-1,EPS-3,HITECH-2,SICL-1</t>
  </si>
  <si>
    <t>JB-10,EPS-8,NBGL-1,ARD-9,SHIVA-2</t>
  </si>
  <si>
    <t>JB-17,EPS-5,ARD-6,SHIVA-1,JINDAL-1</t>
  </si>
  <si>
    <t>JB-17,ARD-6,SHIVA-2,EPS-4,NBGL-1</t>
  </si>
  <si>
    <t>EPS-7,JB-17,ARD-4,SHIVA-2</t>
  </si>
  <si>
    <t>SHIVA-6,JB-16,ARD-6,EPS-2</t>
  </si>
  <si>
    <t>JB-15,EPS-7,NBGL-2,ARD-6</t>
  </si>
  <si>
    <t>EPS-9,SHIVA-2,JB-14,ARD-3</t>
  </si>
  <si>
    <t>CS PATIALA  (U/S AC SPLIT)</t>
  </si>
  <si>
    <t>U/S Typewriters</t>
  </si>
  <si>
    <t>Lot No. I-9</t>
  </si>
  <si>
    <t>Lot no. E - 26</t>
  </si>
  <si>
    <t>S &amp; T Store Bathinda (1.367 MT Intermingle)</t>
  </si>
  <si>
    <t>Lot no. Q-35</t>
  </si>
  <si>
    <t>U/S Ceiling Fans</t>
  </si>
  <si>
    <t>EA-68 /PTA-2023-24</t>
  </si>
  <si>
    <t>6.02.2024</t>
  </si>
  <si>
    <t>JB-1,SICL-2,ECO-1,PP-3,MS-2,SKYWAY-1</t>
  </si>
  <si>
    <t>MS-3,PAN-1</t>
  </si>
  <si>
    <t>NUCON-1,AGGARWAL-1</t>
  </si>
  <si>
    <t>WNP-8 (unstandard tf's)</t>
  </si>
  <si>
    <t>JINDAL-2,ECO-3,PVJ-2,JB-3,SHIVA-1,NB-2,SHIVALIK-1,JR-1</t>
  </si>
  <si>
    <t>SIC= 01,STAR=01,JR=05,DURABLE=01,PP=01</t>
  </si>
  <si>
    <t>PP=06,NUCON=01,JR=01,JAY BEE=01,DURABLE=02,TA=01</t>
  </si>
  <si>
    <t>NV=01,IACL-01,UTTAM=01,PTEL=02,TA=05,SIC=01,STAR=02,SWASTIK=01,JB=04,LIBERTY=02,ELECTRA=2,SONI=01,SAPA=04,PME=3,SARAF=01</t>
  </si>
  <si>
    <r>
      <t xml:space="preserve">Lot No. C 14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</si>
  <si>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15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</si>
  <si>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16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</si>
  <si>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17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</si>
  <si>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18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</si>
  <si>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r>
      <t xml:space="preserve">Lot No. C 19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</si>
  <si>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r>
      <t xml:space="preserve">Lot No. C 20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</si>
  <si>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21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</si>
  <si>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22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MOHALI</t>
    </r>
  </si>
  <si>
    <r>
      <t xml:space="preserve">Lot No. C 23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</si>
  <si>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r>
      <t xml:space="preserve">Lot No. C 24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</si>
  <si>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C25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</si>
  <si>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26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MALOUT</t>
    </r>
  </si>
  <si>
    <r>
      <t xml:space="preserve">Lot No. C 27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</si>
  <si>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r>
      <t xml:space="preserve">Lot No. C 28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MOGA</t>
    </r>
  </si>
  <si>
    <r>
      <t xml:space="preserve">Lot No. C 29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</si>
  <si>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30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</si>
  <si>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31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</si>
  <si>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32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</si>
  <si>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33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</si>
  <si>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 34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</si>
  <si>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35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</si>
  <si>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ECO-1 JB-1</t>
  </si>
  <si>
    <t>Lot No A-17</t>
  </si>
  <si>
    <t>new</t>
  </si>
  <si>
    <t>Lot no. Q-36</t>
  </si>
  <si>
    <t>PP-1</t>
  </si>
  <si>
    <t>UTTAM-1</t>
  </si>
  <si>
    <t>SICL-1,SE-1,PTEL-1</t>
  </si>
  <si>
    <t>ARD-1</t>
  </si>
  <si>
    <t>ELECTRA-1,JB-1,PME-1,NUCON-1,SICL-1</t>
  </si>
  <si>
    <t>MARSON-1</t>
  </si>
  <si>
    <t>DURABLE-1</t>
  </si>
  <si>
    <t>200 KVA(CORE &amp; TANK)</t>
  </si>
  <si>
    <t>SE-1,JB-1(unstandard tf's)</t>
  </si>
  <si>
    <t>DURABLE-1(unstandard tf's)</t>
  </si>
  <si>
    <r>
      <t xml:space="preserve">Lot No. C 36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</si>
  <si>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Lot no. E - 27</t>
  </si>
  <si>
    <t xml:space="preserve">NOTE : Before lifting of Transformers (From Lot no. C-1 to C-36), HT/LT copper winding coils of transformers shall be mutilated by the purchaser. </t>
  </si>
  <si>
    <t>Lot No B-21</t>
  </si>
  <si>
    <t>CS Malout (.133 MT Intermingle)</t>
  </si>
  <si>
    <t>Lot no. Q-37</t>
  </si>
  <si>
    <t>Lot no. Q-38</t>
  </si>
  <si>
    <t>CS Patiala (.01 MT Intermingle)</t>
  </si>
  <si>
    <t>Outlet store Nabha</t>
  </si>
  <si>
    <t>OLRajpura</t>
  </si>
  <si>
    <t>CS Bathinda (.135 MT intermingle)</t>
  </si>
  <si>
    <t>Lot No A-20</t>
  </si>
  <si>
    <t>.068 im e</t>
  </si>
  <si>
    <t>Outlet store Bhagta Bhai Ka (.18 MT Intermingle)</t>
  </si>
  <si>
    <t>Lot no. E - 28</t>
  </si>
  <si>
    <t>CS KOTKAPURA (U/S AC WINDOW)</t>
  </si>
  <si>
    <t>Lot No. I-21</t>
  </si>
  <si>
    <t>NEW</t>
  </si>
  <si>
    <t>CS Mohali (.134 MT intermingle)</t>
  </si>
  <si>
    <t>Lot no. G - 17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</si>
</sst>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0.0"/>
    <numFmt numFmtId="184" formatCode="0.000"/>
    <numFmt numFmtId="185" formatCode="0.0000"/>
    <numFmt numFmtId="186" formatCode="0.00000"/>
    <numFmt numFmtId="187" formatCode="[$-409]dddd\,\ mmmm\ dd\,\ yyyy"/>
    <numFmt numFmtId="188" formatCode="[$-409]h:mm:ss\ AM/PM"/>
    <numFmt numFmtId="189" formatCode="[$-4009]dd\ mmmm\ yyyy"/>
    <numFmt numFmtId="190" formatCode="[$-F800]dddd\,\ mmmm\ dd\,\ yyyy"/>
    <numFmt numFmtId="191" formatCode="dd\-mm\-yyyy"/>
  </numFmts>
  <fonts count="9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omic Sans MS"/>
      <family val="4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36"/>
      <name val="Arial"/>
      <family val="2"/>
    </font>
    <font>
      <b/>
      <sz val="9"/>
      <color indexed="36"/>
      <name val="Arial"/>
      <family val="2"/>
    </font>
    <font>
      <b/>
      <u val="single"/>
      <sz val="11"/>
      <color indexed="36"/>
      <name val="Arial"/>
      <family val="2"/>
    </font>
    <font>
      <b/>
      <u val="single"/>
      <sz val="12"/>
      <color indexed="36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36"/>
      <name val="Arial"/>
      <family val="2"/>
    </font>
    <font>
      <b/>
      <sz val="11"/>
      <name val="Calibri"/>
      <family val="2"/>
    </font>
    <font>
      <b/>
      <sz val="11"/>
      <color indexed="10"/>
      <name val="Times New Roman"/>
      <family val="1"/>
    </font>
    <font>
      <b/>
      <sz val="10"/>
      <color indexed="17"/>
      <name val="Arial"/>
      <family val="2"/>
    </font>
    <font>
      <b/>
      <sz val="11"/>
      <color indexed="36"/>
      <name val="Arial"/>
      <family val="2"/>
    </font>
    <font>
      <b/>
      <u val="single"/>
      <sz val="11"/>
      <color indexed="8"/>
      <name val="Comic Sans MS"/>
      <family val="4"/>
    </font>
    <font>
      <b/>
      <u val="single"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7030A0"/>
      <name val="Arial"/>
      <family val="2"/>
    </font>
    <font>
      <b/>
      <sz val="9"/>
      <color rgb="FF7030A0"/>
      <name val="Arial"/>
      <family val="2"/>
    </font>
    <font>
      <b/>
      <u val="single"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rgb="FF7030A0"/>
      <name val="Arial"/>
      <family val="2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7030A0"/>
      <name val="Arial"/>
      <family val="2"/>
    </font>
    <font>
      <b/>
      <sz val="11"/>
      <color rgb="FFFF0000"/>
      <name val="Times New Roman"/>
      <family val="1"/>
    </font>
    <font>
      <b/>
      <sz val="10"/>
      <color rgb="FF00B050"/>
      <name val="Arial"/>
      <family val="2"/>
    </font>
    <font>
      <b/>
      <sz val="11"/>
      <color rgb="FF7030A0"/>
      <name val="Arial"/>
      <family val="2"/>
    </font>
    <font>
      <b/>
      <u val="single"/>
      <sz val="10"/>
      <color rgb="FF00B050"/>
      <name val="Arial"/>
      <family val="2"/>
    </font>
    <font>
      <b/>
      <u val="single"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71" fillId="0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center" wrapText="1"/>
    </xf>
    <xf numFmtId="0" fontId="72" fillId="0" borderId="14" xfId="0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vertical="center"/>
    </xf>
    <xf numFmtId="0" fontId="72" fillId="0" borderId="16" xfId="0" applyFont="1" applyFill="1" applyBorder="1" applyAlignment="1">
      <alignment vertical="center"/>
    </xf>
    <xf numFmtId="0" fontId="73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left" vertical="center" wrapText="1"/>
    </xf>
    <xf numFmtId="0" fontId="74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center" vertical="top"/>
    </xf>
    <xf numFmtId="0" fontId="78" fillId="0" borderId="0" xfId="0" applyFont="1" applyAlignment="1">
      <alignment horizontal="center" vertical="top"/>
    </xf>
    <xf numFmtId="0" fontId="78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 vertical="top"/>
    </xf>
    <xf numFmtId="1" fontId="79" fillId="0" borderId="0" xfId="0" applyNumberFormat="1" applyFont="1" applyBorder="1" applyAlignment="1">
      <alignment horizontal="center"/>
    </xf>
    <xf numFmtId="0" fontId="80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0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184" fontId="75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184" fontId="9" fillId="0" borderId="13" xfId="0" applyNumberFormat="1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 vertical="center" wrapText="1"/>
    </xf>
    <xf numFmtId="184" fontId="80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75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84" fontId="75" fillId="0" borderId="15" xfId="0" applyNumberFormat="1" applyFont="1" applyFill="1" applyBorder="1" applyAlignment="1">
      <alignment horizontal="center" vertical="center" wrapText="1"/>
    </xf>
    <xf numFmtId="184" fontId="9" fillId="0" borderId="1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84" fontId="75" fillId="0" borderId="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75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184" fontId="75" fillId="0" borderId="13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top" wrapText="1"/>
    </xf>
    <xf numFmtId="184" fontId="9" fillId="0" borderId="15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wrapText="1"/>
    </xf>
    <xf numFmtId="184" fontId="9" fillId="0" borderId="21" xfId="0" applyNumberFormat="1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/>
    </xf>
    <xf numFmtId="184" fontId="80" fillId="0" borderId="21" xfId="0" applyNumberFormat="1" applyFont="1" applyFill="1" applyBorder="1" applyAlignment="1">
      <alignment horizontal="center"/>
    </xf>
    <xf numFmtId="0" fontId="80" fillId="0" borderId="16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81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76" fillId="0" borderId="16" xfId="0" applyFont="1" applyFill="1" applyBorder="1" applyAlignment="1">
      <alignment vertical="center"/>
    </xf>
    <xf numFmtId="0" fontId="76" fillId="0" borderId="14" xfId="0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0" fontId="83" fillId="0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/>
    </xf>
    <xf numFmtId="17" fontId="9" fillId="0" borderId="13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left" vertical="top" wrapText="1"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9" fillId="32" borderId="13" xfId="57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/>
    </xf>
    <xf numFmtId="0" fontId="9" fillId="0" borderId="13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 wrapText="1"/>
      <protection/>
    </xf>
    <xf numFmtId="184" fontId="75" fillId="0" borderId="15" xfId="0" applyNumberFormat="1" applyFont="1" applyFill="1" applyBorder="1" applyAlignment="1">
      <alignment horizontal="right" vertical="center" wrapText="1"/>
    </xf>
    <xf numFmtId="184" fontId="9" fillId="0" borderId="15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 vertical="top" wrapText="1"/>
    </xf>
    <xf numFmtId="0" fontId="84" fillId="0" borderId="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left" vertical="top" wrapText="1"/>
    </xf>
    <xf numFmtId="184" fontId="75" fillId="0" borderId="23" xfId="0" applyNumberFormat="1" applyFont="1" applyFill="1" applyBorder="1" applyAlignment="1">
      <alignment horizontal="center" vertical="top" wrapText="1"/>
    </xf>
    <xf numFmtId="0" fontId="9" fillId="33" borderId="13" xfId="57" applyFont="1" applyFill="1" applyBorder="1" applyAlignment="1">
      <alignment horizontal="center" vertical="center"/>
      <protection/>
    </xf>
    <xf numFmtId="0" fontId="75" fillId="0" borderId="13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77" fillId="0" borderId="13" xfId="0" applyFont="1" applyBorder="1" applyAlignment="1">
      <alignment/>
    </xf>
    <xf numFmtId="184" fontId="71" fillId="0" borderId="0" xfId="0" applyNumberFormat="1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 vertical="top" wrapText="1"/>
    </xf>
    <xf numFmtId="184" fontId="75" fillId="0" borderId="0" xfId="0" applyNumberFormat="1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 horizontal="center" vertical="top" wrapText="1"/>
    </xf>
    <xf numFmtId="0" fontId="77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14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2" fontId="9" fillId="0" borderId="13" xfId="0" applyNumberFormat="1" applyFont="1" applyFill="1" applyBorder="1" applyAlignment="1">
      <alignment horizontal="center" vertical="top" wrapText="1"/>
    </xf>
    <xf numFmtId="184" fontId="75" fillId="0" borderId="25" xfId="0" applyNumberFormat="1" applyFont="1" applyFill="1" applyBorder="1" applyAlignment="1">
      <alignment horizontal="center" vertical="top" wrapText="1"/>
    </xf>
    <xf numFmtId="0" fontId="71" fillId="0" borderId="15" xfId="0" applyFont="1" applyFill="1" applyBorder="1" applyAlignment="1">
      <alignment horizontal="center" vertical="top" wrapText="1"/>
    </xf>
    <xf numFmtId="0" fontId="86" fillId="0" borderId="13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top" wrapText="1"/>
    </xf>
    <xf numFmtId="2" fontId="80" fillId="0" borderId="0" xfId="0" applyNumberFormat="1" applyFont="1" applyFill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top" wrapText="1"/>
    </xf>
    <xf numFmtId="0" fontId="80" fillId="0" borderId="13" xfId="0" applyFont="1" applyBorder="1" applyAlignment="1">
      <alignment horizontal="center"/>
    </xf>
    <xf numFmtId="184" fontId="80" fillId="0" borderId="15" xfId="0" applyNumberFormat="1" applyFont="1" applyFill="1" applyBorder="1" applyAlignment="1">
      <alignment horizontal="center"/>
    </xf>
    <xf numFmtId="1" fontId="75" fillId="0" borderId="0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84" fontId="75" fillId="0" borderId="0" xfId="0" applyNumberFormat="1" applyFont="1" applyFill="1" applyBorder="1" applyAlignment="1">
      <alignment horizontal="center" vertical="center" wrapText="1"/>
    </xf>
    <xf numFmtId="184" fontId="75" fillId="0" borderId="26" xfId="0" applyNumberFormat="1" applyFont="1" applyFill="1" applyBorder="1" applyAlignment="1">
      <alignment horizontal="center" vertical="center" wrapText="1"/>
    </xf>
    <xf numFmtId="184" fontId="78" fillId="0" borderId="12" xfId="0" applyNumberFormat="1" applyFont="1" applyFill="1" applyBorder="1" applyAlignment="1">
      <alignment horizontal="center" vertical="center" wrapText="1"/>
    </xf>
    <xf numFmtId="1" fontId="80" fillId="0" borderId="16" xfId="0" applyNumberFormat="1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184" fontId="75" fillId="0" borderId="16" xfId="0" applyNumberFormat="1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184" fontId="80" fillId="0" borderId="11" xfId="0" applyNumberFormat="1" applyFont="1" applyFill="1" applyBorder="1" applyAlignment="1">
      <alignment horizontal="center"/>
    </xf>
    <xf numFmtId="184" fontId="75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84" fontId="80" fillId="0" borderId="16" xfId="0" applyNumberFormat="1" applyFont="1" applyFill="1" applyBorder="1" applyAlignment="1">
      <alignment horizontal="center"/>
    </xf>
    <xf numFmtId="184" fontId="75" fillId="0" borderId="12" xfId="0" applyNumberFormat="1" applyFont="1" applyFill="1" applyBorder="1" applyAlignment="1">
      <alignment horizontal="center" vertical="center" wrapText="1"/>
    </xf>
    <xf numFmtId="184" fontId="80" fillId="0" borderId="16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7" fontId="9" fillId="32" borderId="13" xfId="0" applyNumberFormat="1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" fontId="9" fillId="0" borderId="20" xfId="0" applyNumberFormat="1" applyFont="1" applyFill="1" applyBorder="1" applyAlignment="1">
      <alignment horizontal="center" vertical="center" wrapText="1"/>
    </xf>
    <xf numFmtId="184" fontId="9" fillId="0" borderId="21" xfId="0" applyNumberFormat="1" applyFont="1" applyFill="1" applyBorder="1" applyAlignment="1">
      <alignment horizontal="center"/>
    </xf>
    <xf numFmtId="184" fontId="9" fillId="0" borderId="12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0" fontId="80" fillId="0" borderId="13" xfId="57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vertical="top" wrapText="1"/>
    </xf>
    <xf numFmtId="0" fontId="75" fillId="0" borderId="13" xfId="57" applyFont="1" applyFill="1" applyBorder="1" applyAlignment="1">
      <alignment horizontal="center" vertical="center"/>
      <protection/>
    </xf>
    <xf numFmtId="0" fontId="0" fillId="11" borderId="0" xfId="0" applyFont="1" applyFill="1" applyAlignment="1">
      <alignment/>
    </xf>
    <xf numFmtId="184" fontId="0" fillId="11" borderId="0" xfId="0" applyNumberFormat="1" applyFill="1" applyAlignment="1">
      <alignment/>
    </xf>
    <xf numFmtId="184" fontId="13" fillId="0" borderId="0" xfId="0" applyNumberFormat="1" applyFont="1" applyFill="1" applyAlignment="1">
      <alignment vertical="top" wrapText="1"/>
    </xf>
    <xf numFmtId="0" fontId="75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75" fillId="0" borderId="2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left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184" fontId="80" fillId="0" borderId="15" xfId="0" applyNumberFormat="1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left" vertical="top" wrapText="1"/>
    </xf>
    <xf numFmtId="0" fontId="76" fillId="0" borderId="16" xfId="0" applyFont="1" applyFill="1" applyBorder="1" applyAlignment="1">
      <alignment horizontal="left" vertical="top" wrapText="1"/>
    </xf>
    <xf numFmtId="0" fontId="80" fillId="0" borderId="13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/>
      <protection/>
    </xf>
    <xf numFmtId="0" fontId="9" fillId="33" borderId="13" xfId="58" applyFont="1" applyFill="1" applyBorder="1" applyAlignment="1">
      <alignment horizontal="center" vertical="center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80" fillId="0" borderId="13" xfId="0" applyFont="1" applyBorder="1" applyAlignment="1">
      <alignment horizontal="center" vertical="top" wrapText="1"/>
    </xf>
    <xf numFmtId="184" fontId="80" fillId="0" borderId="13" xfId="0" applyNumberFormat="1" applyFont="1" applyFill="1" applyBorder="1" applyAlignment="1">
      <alignment horizontal="center" vertical="top" wrapText="1"/>
    </xf>
    <xf numFmtId="184" fontId="77" fillId="0" borderId="13" xfId="0" applyNumberFormat="1" applyFont="1" applyBorder="1" applyAlignment="1">
      <alignment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80" fillId="0" borderId="13" xfId="58" applyFont="1" applyFill="1" applyBorder="1" applyAlignment="1">
      <alignment horizontal="center" vertical="center"/>
      <protection/>
    </xf>
    <xf numFmtId="0" fontId="80" fillId="32" borderId="13" xfId="58" applyFont="1" applyFill="1" applyBorder="1" applyAlignment="1">
      <alignment horizontal="center" vertical="center"/>
      <protection/>
    </xf>
    <xf numFmtId="0" fontId="80" fillId="0" borderId="13" xfId="58" applyFont="1" applyBorder="1" applyAlignment="1">
      <alignment horizontal="center" vertical="center" wrapText="1"/>
      <protection/>
    </xf>
    <xf numFmtId="0" fontId="80" fillId="32" borderId="13" xfId="57" applyFont="1" applyFill="1" applyBorder="1" applyAlignment="1">
      <alignment horizontal="center" vertical="center"/>
      <protection/>
    </xf>
    <xf numFmtId="0" fontId="80" fillId="0" borderId="13" xfId="57" applyFont="1" applyBorder="1" applyAlignment="1">
      <alignment horizontal="center" vertical="center" wrapText="1"/>
      <protection/>
    </xf>
    <xf numFmtId="0" fontId="80" fillId="0" borderId="13" xfId="57" applyFont="1" applyBorder="1" applyAlignment="1">
      <alignment horizontal="center" vertical="center"/>
      <protection/>
    </xf>
    <xf numFmtId="0" fontId="87" fillId="0" borderId="13" xfId="57" applyFont="1" applyBorder="1" applyAlignment="1">
      <alignment horizontal="center" vertical="center" wrapText="1"/>
      <protection/>
    </xf>
    <xf numFmtId="0" fontId="80" fillId="0" borderId="13" xfId="0" applyFont="1" applyBorder="1" applyAlignment="1">
      <alignment horizontal="center" vertical="center"/>
    </xf>
    <xf numFmtId="0" fontId="80" fillId="0" borderId="0" xfId="0" applyFont="1" applyAlignment="1">
      <alignment horizontal="center"/>
    </xf>
    <xf numFmtId="0" fontId="80" fillId="33" borderId="13" xfId="57" applyFont="1" applyFill="1" applyBorder="1" applyAlignment="1">
      <alignment horizontal="center" vertical="center"/>
      <protection/>
    </xf>
    <xf numFmtId="0" fontId="80" fillId="13" borderId="20" xfId="0" applyFont="1" applyFill="1" applyBorder="1" applyAlignment="1">
      <alignment horizontal="center" vertical="center" wrapText="1"/>
    </xf>
    <xf numFmtId="0" fontId="80" fillId="13" borderId="14" xfId="0" applyFont="1" applyFill="1" applyBorder="1" applyAlignment="1">
      <alignment horizontal="center" vertical="center"/>
    </xf>
    <xf numFmtId="0" fontId="80" fillId="13" borderId="13" xfId="58" applyFont="1" applyFill="1" applyBorder="1" applyAlignment="1">
      <alignment horizontal="center" vertical="center" wrapText="1"/>
      <protection/>
    </xf>
    <xf numFmtId="0" fontId="80" fillId="13" borderId="13" xfId="58" applyFont="1" applyFill="1" applyBorder="1" applyAlignment="1">
      <alignment horizontal="center" vertical="center"/>
      <protection/>
    </xf>
    <xf numFmtId="0" fontId="80" fillId="13" borderId="13" xfId="57" applyFont="1" applyFill="1" applyBorder="1" applyAlignment="1">
      <alignment horizontal="center" vertical="center" wrapText="1"/>
      <protection/>
    </xf>
    <xf numFmtId="0" fontId="80" fillId="13" borderId="13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184" fontId="80" fillId="0" borderId="13" xfId="0" applyNumberFormat="1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/>
    </xf>
    <xf numFmtId="0" fontId="80" fillId="0" borderId="19" xfId="0" applyFont="1" applyFill="1" applyBorder="1" applyAlignment="1">
      <alignment horizontal="center"/>
    </xf>
    <xf numFmtId="0" fontId="80" fillId="0" borderId="14" xfId="0" applyFont="1" applyFill="1" applyBorder="1" applyAlignment="1">
      <alignment horizontal="center" vertical="center" wrapText="1"/>
    </xf>
    <xf numFmtId="1" fontId="80" fillId="0" borderId="15" xfId="0" applyNumberFormat="1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184" fontId="80" fillId="0" borderId="20" xfId="0" applyNumberFormat="1" applyFont="1" applyFill="1" applyBorder="1" applyAlignment="1">
      <alignment horizontal="center" vertical="center" wrapText="1"/>
    </xf>
    <xf numFmtId="184" fontId="80" fillId="0" borderId="13" xfId="0" applyNumberFormat="1" applyFont="1" applyFill="1" applyBorder="1" applyAlignment="1">
      <alignment horizontal="center" vertical="center" wrapText="1"/>
    </xf>
    <xf numFmtId="184" fontId="80" fillId="0" borderId="15" xfId="0" applyNumberFormat="1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184" fontId="80" fillId="0" borderId="13" xfId="0" applyNumberFormat="1" applyFont="1" applyFill="1" applyBorder="1" applyAlignment="1">
      <alignment horizontal="center" vertical="center" wrapText="1"/>
    </xf>
    <xf numFmtId="184" fontId="80" fillId="0" borderId="15" xfId="0" applyNumberFormat="1" applyFont="1" applyFill="1" applyBorder="1" applyAlignment="1">
      <alignment horizontal="center" vertical="center" wrapText="1"/>
    </xf>
    <xf numFmtId="0" fontId="80" fillId="32" borderId="13" xfId="0" applyFont="1" applyFill="1" applyBorder="1" applyAlignment="1">
      <alignment horizontal="center" vertical="center"/>
    </xf>
    <xf numFmtId="0" fontId="80" fillId="32" borderId="13" xfId="0" applyFont="1" applyFill="1" applyBorder="1" applyAlignment="1">
      <alignment horizontal="center" vertical="center" wrapText="1"/>
    </xf>
    <xf numFmtId="0" fontId="80" fillId="32" borderId="20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top" wrapText="1"/>
    </xf>
    <xf numFmtId="0" fontId="80" fillId="0" borderId="15" xfId="0" applyFont="1" applyFill="1" applyBorder="1" applyAlignment="1">
      <alignment horizontal="center" vertical="top" wrapText="1"/>
    </xf>
    <xf numFmtId="0" fontId="80" fillId="33" borderId="14" xfId="0" applyFont="1" applyFill="1" applyBorder="1" applyAlignment="1">
      <alignment horizontal="center" vertical="center" wrapText="1"/>
    </xf>
    <xf numFmtId="184" fontId="80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80" fillId="0" borderId="16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184" fontId="80" fillId="0" borderId="13" xfId="0" applyNumberFormat="1" applyFont="1" applyFill="1" applyBorder="1" applyAlignment="1">
      <alignment horizontal="center" vertical="center" wrapText="1"/>
    </xf>
    <xf numFmtId="184" fontId="80" fillId="0" borderId="15" xfId="0" applyNumberFormat="1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top" wrapText="1"/>
    </xf>
    <xf numFmtId="184" fontId="83" fillId="0" borderId="15" xfId="0" applyNumberFormat="1" applyFont="1" applyFill="1" applyBorder="1" applyAlignment="1">
      <alignment horizontal="center"/>
    </xf>
    <xf numFmtId="0" fontId="83" fillId="0" borderId="0" xfId="0" applyFont="1" applyFill="1" applyAlignment="1">
      <alignment horizontal="center" vertical="top" wrapText="1"/>
    </xf>
    <xf numFmtId="184" fontId="80" fillId="0" borderId="21" xfId="0" applyNumberFormat="1" applyFont="1" applyFill="1" applyBorder="1" applyAlignment="1">
      <alignment horizontal="center" vertical="center" wrapText="1"/>
    </xf>
    <xf numFmtId="184" fontId="88" fillId="0" borderId="15" xfId="0" applyNumberFormat="1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184" fontId="80" fillId="0" borderId="13" xfId="0" applyNumberFormat="1" applyFont="1" applyFill="1" applyBorder="1" applyAlignment="1">
      <alignment horizontal="center" vertical="center" wrapText="1"/>
    </xf>
    <xf numFmtId="184" fontId="80" fillId="0" borderId="15" xfId="0" applyNumberFormat="1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184" fontId="80" fillId="0" borderId="20" xfId="0" applyNumberFormat="1" applyFont="1" applyFill="1" applyBorder="1" applyAlignment="1">
      <alignment horizontal="center" vertical="top" wrapText="1"/>
    </xf>
    <xf numFmtId="184" fontId="80" fillId="0" borderId="16" xfId="0" applyNumberFormat="1" applyFont="1" applyFill="1" applyBorder="1" applyAlignment="1">
      <alignment horizontal="center" vertical="center" wrapText="1"/>
    </xf>
    <xf numFmtId="2" fontId="80" fillId="0" borderId="13" xfId="0" applyNumberFormat="1" applyFont="1" applyFill="1" applyBorder="1" applyAlignment="1">
      <alignment horizontal="center" vertical="top" wrapText="1"/>
    </xf>
    <xf numFmtId="184" fontId="80" fillId="0" borderId="12" xfId="0" applyNumberFormat="1" applyFont="1" applyFill="1" applyBorder="1" applyAlignment="1">
      <alignment horizontal="center" vertical="center" wrapText="1"/>
    </xf>
    <xf numFmtId="184" fontId="89" fillId="0" borderId="15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top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horizontal="left" vertical="center" wrapText="1"/>
    </xf>
    <xf numFmtId="0" fontId="76" fillId="0" borderId="14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84" fontId="80" fillId="0" borderId="13" xfId="0" applyNumberFormat="1" applyFont="1" applyFill="1" applyBorder="1" applyAlignment="1">
      <alignment horizontal="center" vertical="center" wrapText="1"/>
    </xf>
    <xf numFmtId="184" fontId="88" fillId="0" borderId="16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5" fillId="0" borderId="28" xfId="0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/>
    </xf>
    <xf numFmtId="184" fontId="80" fillId="0" borderId="15" xfId="0" applyNumberFormat="1" applyFont="1" applyFill="1" applyBorder="1" applyAlignment="1">
      <alignment horizontal="center" vertical="center" wrapText="1"/>
    </xf>
    <xf numFmtId="184" fontId="80" fillId="0" borderId="16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6" fillId="0" borderId="15" xfId="0" applyFont="1" applyFill="1" applyBorder="1" applyAlignment="1">
      <alignment horizontal="justify" vertical="top" wrapText="1"/>
    </xf>
    <xf numFmtId="0" fontId="76" fillId="0" borderId="16" xfId="0" applyFont="1" applyFill="1" applyBorder="1" applyAlignment="1">
      <alignment horizontal="justify" vertical="top" wrapText="1"/>
    </xf>
    <xf numFmtId="0" fontId="74" fillId="0" borderId="15" xfId="0" applyFont="1" applyFill="1" applyBorder="1" applyAlignment="1">
      <alignment horizontal="left" wrapText="1"/>
    </xf>
    <xf numFmtId="0" fontId="74" fillId="0" borderId="16" xfId="0" applyFont="1" applyFill="1" applyBorder="1" applyAlignment="1">
      <alignment horizontal="left" wrapText="1"/>
    </xf>
    <xf numFmtId="0" fontId="76" fillId="0" borderId="15" xfId="0" applyFont="1" applyFill="1" applyBorder="1" applyAlignment="1">
      <alignment horizontal="left" vertical="center"/>
    </xf>
    <xf numFmtId="0" fontId="76" fillId="0" borderId="16" xfId="0" applyFont="1" applyFill="1" applyBorder="1" applyAlignment="1">
      <alignment horizontal="left" vertical="center"/>
    </xf>
    <xf numFmtId="0" fontId="74" fillId="0" borderId="15" xfId="0" applyFont="1" applyFill="1" applyBorder="1" applyAlignment="1">
      <alignment vertical="center" wrapText="1"/>
    </xf>
    <xf numFmtId="0" fontId="74" fillId="0" borderId="16" xfId="0" applyFont="1" applyFill="1" applyBorder="1" applyAlignment="1">
      <alignment vertical="center" wrapText="1"/>
    </xf>
    <xf numFmtId="0" fontId="76" fillId="0" borderId="15" xfId="0" applyFont="1" applyFill="1" applyBorder="1" applyAlignment="1">
      <alignment horizontal="left" vertical="top" wrapText="1"/>
    </xf>
    <xf numFmtId="0" fontId="76" fillId="0" borderId="16" xfId="0" applyFont="1" applyFill="1" applyBorder="1" applyAlignment="1">
      <alignment horizontal="left" vertical="top" wrapText="1"/>
    </xf>
    <xf numFmtId="184" fontId="9" fillId="0" borderId="13" xfId="0" applyNumberFormat="1" applyFont="1" applyFill="1" applyBorder="1" applyAlignment="1">
      <alignment horizontal="center" vertical="center" wrapText="1"/>
    </xf>
    <xf numFmtId="0" fontId="75" fillId="0" borderId="28" xfId="0" applyFont="1" applyFill="1" applyBorder="1" applyAlignment="1">
      <alignment horizontal="center" vertical="top" wrapText="1"/>
    </xf>
    <xf numFmtId="0" fontId="75" fillId="0" borderId="29" xfId="0" applyFont="1" applyFill="1" applyBorder="1" applyAlignment="1">
      <alignment horizontal="center" vertical="top" wrapText="1"/>
    </xf>
    <xf numFmtId="0" fontId="74" fillId="0" borderId="15" xfId="0" applyFont="1" applyFill="1" applyBorder="1" applyAlignment="1">
      <alignment horizontal="left" vertical="top" wrapText="1"/>
    </xf>
    <xf numFmtId="0" fontId="74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74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75" fillId="0" borderId="30" xfId="0" applyFont="1" applyFill="1" applyBorder="1" applyAlignment="1">
      <alignment horizontal="center" vertical="top" wrapText="1"/>
    </xf>
    <xf numFmtId="0" fontId="75" fillId="0" borderId="31" xfId="0" applyFont="1" applyFill="1" applyBorder="1" applyAlignment="1">
      <alignment horizontal="center" vertical="top" wrapText="1"/>
    </xf>
    <xf numFmtId="0" fontId="74" fillId="0" borderId="17" xfId="0" applyFont="1" applyFill="1" applyBorder="1" applyAlignment="1">
      <alignment horizontal="left" vertical="top" wrapText="1"/>
    </xf>
    <xf numFmtId="0" fontId="74" fillId="0" borderId="18" xfId="0" applyFont="1" applyFill="1" applyBorder="1" applyAlignment="1">
      <alignment horizontal="left" vertical="top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top" wrapText="1"/>
    </xf>
    <xf numFmtId="0" fontId="85" fillId="0" borderId="19" xfId="0" applyFont="1" applyFill="1" applyBorder="1" applyAlignment="1">
      <alignment horizontal="center" vertical="top" wrapText="1"/>
    </xf>
    <xf numFmtId="0" fontId="74" fillId="0" borderId="12" xfId="0" applyFont="1" applyFill="1" applyBorder="1" applyAlignment="1">
      <alignment horizontal="center" vertical="top" wrapText="1"/>
    </xf>
    <xf numFmtId="0" fontId="80" fillId="0" borderId="14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justify" vertical="top" wrapText="1"/>
    </xf>
    <xf numFmtId="0" fontId="76" fillId="0" borderId="21" xfId="0" applyFont="1" applyFill="1" applyBorder="1" applyAlignment="1">
      <alignment horizontal="justify" vertical="top" wrapText="1"/>
    </xf>
    <xf numFmtId="0" fontId="74" fillId="0" borderId="32" xfId="0" applyFont="1" applyFill="1" applyBorder="1" applyAlignment="1">
      <alignment horizontal="center" vertical="top" wrapText="1"/>
    </xf>
    <xf numFmtId="0" fontId="74" fillId="0" borderId="33" xfId="0" applyFont="1" applyFill="1" applyBorder="1" applyAlignment="1">
      <alignment horizontal="center" vertical="top" wrapText="1"/>
    </xf>
    <xf numFmtId="0" fontId="74" fillId="0" borderId="15" xfId="0" applyFont="1" applyFill="1" applyBorder="1" applyAlignment="1">
      <alignment horizontal="left" vertical="center" wrapText="1"/>
    </xf>
    <xf numFmtId="0" fontId="7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top" wrapText="1"/>
    </xf>
    <xf numFmtId="0" fontId="75" fillId="0" borderId="24" xfId="0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07"/>
  <sheetViews>
    <sheetView tabSelected="1" view="pageBreakPreview" zoomScale="90" zoomScaleNormal="70" zoomScaleSheetLayoutView="90" zoomScalePageLayoutView="70" workbookViewId="0" topLeftCell="A1">
      <selection activeCell="H67" sqref="H67"/>
    </sheetView>
  </sheetViews>
  <sheetFormatPr defaultColWidth="9.140625" defaultRowHeight="12.75"/>
  <cols>
    <col min="1" max="1" width="16.140625" style="5" customWidth="1"/>
    <col min="2" max="2" width="15.421875" style="2" customWidth="1"/>
    <col min="3" max="3" width="25.8515625" style="3" customWidth="1"/>
    <col min="4" max="4" width="70.421875" style="3" customWidth="1"/>
    <col min="5" max="5" width="29.28125" style="2" customWidth="1"/>
    <col min="6" max="6" width="10.00390625" style="1" hidden="1" customWidth="1"/>
    <col min="7" max="7" width="42.8515625" style="1" hidden="1" customWidth="1"/>
    <col min="8" max="8" width="159.57421875" style="99" customWidth="1"/>
    <col min="9" max="18" width="9.140625" style="1" hidden="1" customWidth="1"/>
    <col min="19" max="20" width="9.140625" style="1" customWidth="1"/>
    <col min="21" max="16384" width="9.140625" style="1" customWidth="1"/>
  </cols>
  <sheetData>
    <row r="1" spans="1:5" ht="27" customHeight="1">
      <c r="A1" s="387" t="s">
        <v>72</v>
      </c>
      <c r="B1" s="388"/>
      <c r="C1" s="388"/>
      <c r="D1" s="388"/>
      <c r="E1" s="388"/>
    </row>
    <row r="2" spans="1:4" ht="19.5" customHeight="1">
      <c r="A2" s="389" t="s">
        <v>9</v>
      </c>
      <c r="B2" s="390"/>
      <c r="C2" s="390"/>
      <c r="D2" s="4" t="s">
        <v>647</v>
      </c>
    </row>
    <row r="3" spans="1:4" ht="16.5" customHeight="1">
      <c r="A3" s="389" t="s">
        <v>10</v>
      </c>
      <c r="B3" s="390"/>
      <c r="C3" s="390"/>
      <c r="D3" s="4" t="s">
        <v>648</v>
      </c>
    </row>
    <row r="4" spans="1:5" ht="31.5" customHeight="1">
      <c r="A4" s="360" t="s">
        <v>233</v>
      </c>
      <c r="B4" s="361"/>
      <c r="C4" s="361"/>
      <c r="D4" s="361"/>
      <c r="E4" s="361"/>
    </row>
    <row r="5" spans="1:6" ht="19.5" customHeight="1">
      <c r="A5" s="385" t="s">
        <v>0</v>
      </c>
      <c r="B5" s="386"/>
      <c r="C5" s="386"/>
      <c r="D5" s="386"/>
      <c r="E5" s="65" t="s">
        <v>7</v>
      </c>
      <c r="F5" s="121"/>
    </row>
    <row r="6" spans="1:8" ht="17.25" customHeight="1">
      <c r="A6" s="325" t="s">
        <v>74</v>
      </c>
      <c r="B6" s="326"/>
      <c r="C6" s="323" t="s">
        <v>145</v>
      </c>
      <c r="D6" s="323"/>
      <c r="E6" s="290">
        <v>4.562</v>
      </c>
      <c r="F6" s="1">
        <v>4.044</v>
      </c>
      <c r="H6" s="93" t="str">
        <f>CONCATENATE("Aluminium Conductor Steel Reinforced scrap, Lying at ",C6,". Quantity in MT - ",E6,)</f>
        <v>Aluminium Conductor Steel Reinforced scrap, Lying at Outlet store Shri Muktsar sahib. Quantity in MT - 4.562</v>
      </c>
    </row>
    <row r="7" spans="1:8" ht="17.25" customHeight="1">
      <c r="A7" s="325" t="s">
        <v>114</v>
      </c>
      <c r="B7" s="326"/>
      <c r="C7" s="323" t="s">
        <v>201</v>
      </c>
      <c r="D7" s="323"/>
      <c r="E7" s="303">
        <v>7.579</v>
      </c>
      <c r="F7" s="1">
        <v>4.993</v>
      </c>
      <c r="H7" s="93" t="str">
        <f aca="true" t="shared" si="0" ref="H7:H26">CONCATENATE("Aluminium Conductor Steel Reinforced scrap, Lying at ",C7,". Quantity in MT - ",E7,)</f>
        <v>Aluminium Conductor Steel Reinforced scrap, Lying at CS Kotkapura  (.237 MT Intermingle). Quantity in MT - 7.579</v>
      </c>
    </row>
    <row r="8" spans="1:8" ht="17.25" customHeight="1">
      <c r="A8" s="325" t="s">
        <v>161</v>
      </c>
      <c r="B8" s="326"/>
      <c r="C8" s="329" t="s">
        <v>609</v>
      </c>
      <c r="D8" s="329"/>
      <c r="E8" s="46">
        <v>8</v>
      </c>
      <c r="H8" s="93" t="str">
        <f t="shared" si="0"/>
        <v>Aluminium Conductor Steel Reinforced scrap, Lying at CS Kotkapura . Quantity in MT - 8</v>
      </c>
    </row>
    <row r="9" spans="1:8" ht="17.25" customHeight="1">
      <c r="A9" s="325" t="s">
        <v>178</v>
      </c>
      <c r="B9" s="326"/>
      <c r="C9" s="323" t="s">
        <v>179</v>
      </c>
      <c r="D9" s="323"/>
      <c r="E9" s="287">
        <v>10.379</v>
      </c>
      <c r="F9" s="1">
        <v>6.904</v>
      </c>
      <c r="G9" s="121"/>
      <c r="H9" s="93" t="str">
        <f t="shared" si="0"/>
        <v>Aluminium Conductor Steel Reinforced scrap, Lying at Outlet store Malerkotla. Quantity in MT - 10.379</v>
      </c>
    </row>
    <row r="10" spans="1:8" ht="17.25" customHeight="1">
      <c r="A10" s="325" t="s">
        <v>162</v>
      </c>
      <c r="B10" s="326"/>
      <c r="C10" s="323" t="s">
        <v>185</v>
      </c>
      <c r="D10" s="323"/>
      <c r="E10" s="314">
        <v>8.468</v>
      </c>
      <c r="F10" s="1">
        <v>6.437</v>
      </c>
      <c r="H10" s="93" t="str">
        <f t="shared" si="0"/>
        <v>Aluminium Conductor Steel Reinforced scrap, Lying at Outlet store Ropar. Quantity in MT - 8.468</v>
      </c>
    </row>
    <row r="11" spans="1:8" ht="17.25" customHeight="1">
      <c r="A11" s="325" t="s">
        <v>180</v>
      </c>
      <c r="B11" s="326"/>
      <c r="C11" s="323" t="s">
        <v>262</v>
      </c>
      <c r="D11" s="323"/>
      <c r="E11" s="314">
        <v>2.834</v>
      </c>
      <c r="F11" s="1">
        <v>1.876</v>
      </c>
      <c r="H11" s="93" t="str">
        <f t="shared" si="0"/>
        <v>Aluminium Conductor Steel Reinforced scrap, Lying at Outlet store Fazilka. Quantity in MT - 2.834</v>
      </c>
    </row>
    <row r="12" spans="1:8" ht="17.25" customHeight="1">
      <c r="A12" s="325" t="s">
        <v>163</v>
      </c>
      <c r="B12" s="326"/>
      <c r="C12" s="323" t="s">
        <v>703</v>
      </c>
      <c r="D12" s="323"/>
      <c r="E12" s="303">
        <v>7.356</v>
      </c>
      <c r="F12" s="1">
        <v>5.991</v>
      </c>
      <c r="G12" s="121"/>
      <c r="H12" s="93" t="str">
        <f t="shared" si="0"/>
        <v>Aluminium Conductor Steel Reinforced scrap, Lying at CS Bathinda (.135 MT intermingle). Quantity in MT - 7.356</v>
      </c>
    </row>
    <row r="13" spans="1:8" ht="17.25" customHeight="1">
      <c r="A13" s="325" t="s">
        <v>202</v>
      </c>
      <c r="B13" s="326"/>
      <c r="C13" s="400" t="s">
        <v>706</v>
      </c>
      <c r="D13" s="400"/>
      <c r="E13" s="286">
        <v>5.79</v>
      </c>
      <c r="F13" s="1">
        <v>3.436</v>
      </c>
      <c r="G13" s="1" t="s">
        <v>705</v>
      </c>
      <c r="H13" s="93" t="str">
        <f t="shared" si="0"/>
        <v>Aluminium Conductor Steel Reinforced scrap, Lying at Outlet store Bhagta Bhai Ka (.18 MT Intermingle). Quantity in MT - 5.79</v>
      </c>
    </row>
    <row r="14" spans="1:8" ht="17.25" customHeight="1">
      <c r="A14" s="325" t="s">
        <v>183</v>
      </c>
      <c r="B14" s="326"/>
      <c r="C14" s="323" t="s">
        <v>181</v>
      </c>
      <c r="D14" s="323"/>
      <c r="E14" s="287">
        <v>5.096</v>
      </c>
      <c r="F14" s="1">
        <v>3.726</v>
      </c>
      <c r="H14" s="93" t="str">
        <f t="shared" si="0"/>
        <v>Aluminium Conductor Steel Reinforced scrap, Lying at Outlet store Patran. Quantity in MT - 5.096</v>
      </c>
    </row>
    <row r="15" spans="1:8" ht="17.25" customHeight="1">
      <c r="A15" s="325" t="s">
        <v>184</v>
      </c>
      <c r="B15" s="326"/>
      <c r="C15" s="323" t="s">
        <v>182</v>
      </c>
      <c r="D15" s="323"/>
      <c r="E15" s="287">
        <v>5.384</v>
      </c>
      <c r="F15" s="1">
        <v>5.076</v>
      </c>
      <c r="H15" s="93" t="str">
        <f t="shared" si="0"/>
        <v>Aluminium Conductor Steel Reinforced scrap, Lying at Outlet store Barnala. Quantity in MT - 5.384</v>
      </c>
    </row>
    <row r="16" spans="1:8" ht="17.25" customHeight="1">
      <c r="A16" s="325" t="s">
        <v>204</v>
      </c>
      <c r="B16" s="326"/>
      <c r="C16" s="325" t="s">
        <v>644</v>
      </c>
      <c r="D16" s="334"/>
      <c r="E16" s="46">
        <v>11.367</v>
      </c>
      <c r="H16" s="93" t="str">
        <f t="shared" si="0"/>
        <v>Aluminium Conductor Steel Reinforced scrap, Lying at S &amp; T Store Bathinda (1.367 MT Intermingle). Quantity in MT - 11.367</v>
      </c>
    </row>
    <row r="17" spans="1:8" ht="17.25" customHeight="1">
      <c r="A17" s="325" t="s">
        <v>267</v>
      </c>
      <c r="B17" s="326"/>
      <c r="C17" s="325" t="s">
        <v>57</v>
      </c>
      <c r="D17" s="334"/>
      <c r="E17" s="46">
        <v>10</v>
      </c>
      <c r="H17" s="93" t="str">
        <f t="shared" si="0"/>
        <v>Aluminium Conductor Steel Reinforced scrap, Lying at S &amp; T Store Bathinda. Quantity in MT - 10</v>
      </c>
    </row>
    <row r="18" spans="1:8" ht="17.25" customHeight="1">
      <c r="A18" s="325" t="s">
        <v>316</v>
      </c>
      <c r="B18" s="326"/>
      <c r="C18" s="323" t="s">
        <v>697</v>
      </c>
      <c r="D18" s="324"/>
      <c r="E18" s="290">
        <v>9.364</v>
      </c>
      <c r="F18" s="1">
        <v>7.153</v>
      </c>
      <c r="H18" s="93" t="str">
        <f t="shared" si="0"/>
        <v>Aluminium Conductor Steel Reinforced scrap, Lying at CS Malout (.133 MT Intermingle). Quantity in MT - 9.364</v>
      </c>
    </row>
    <row r="19" spans="1:8" ht="17.25" customHeight="1">
      <c r="A19" s="325" t="s">
        <v>317</v>
      </c>
      <c r="B19" s="326"/>
      <c r="C19" s="400" t="s">
        <v>266</v>
      </c>
      <c r="D19" s="400"/>
      <c r="E19" s="286">
        <v>7.779</v>
      </c>
      <c r="F19" s="121">
        <v>5.611</v>
      </c>
      <c r="H19" s="93" t="str">
        <f t="shared" si="0"/>
        <v>Aluminium Conductor Steel Reinforced scrap, Lying at Outlet store Moga. Quantity in MT - 7.779</v>
      </c>
    </row>
    <row r="20" spans="1:8" ht="17.25" customHeight="1">
      <c r="A20" s="325" t="s">
        <v>319</v>
      </c>
      <c r="B20" s="326"/>
      <c r="C20" s="323" t="s">
        <v>426</v>
      </c>
      <c r="D20" s="323"/>
      <c r="E20" s="290">
        <v>3.628</v>
      </c>
      <c r="F20" s="121">
        <v>1.966</v>
      </c>
      <c r="H20" s="93" t="str">
        <f t="shared" si="0"/>
        <v>Aluminium Conductor Steel Reinforced scrap, Lying at CS Ferozepur (.015 MT Intermingle). Quantity in MT - 3.628</v>
      </c>
    </row>
    <row r="21" spans="1:8" ht="17.25" customHeight="1">
      <c r="A21" s="325" t="s">
        <v>320</v>
      </c>
      <c r="B21" s="326"/>
      <c r="C21" s="323" t="s">
        <v>231</v>
      </c>
      <c r="D21" s="324"/>
      <c r="E21" s="303">
        <v>1.704</v>
      </c>
      <c r="F21" s="121">
        <v>0.68</v>
      </c>
      <c r="H21" s="93" t="str">
        <f t="shared" si="0"/>
        <v>Aluminium Conductor Steel Reinforced scrap, Lying at Outlet store Rajpura. Quantity in MT - 1.704</v>
      </c>
    </row>
    <row r="22" spans="1:8" ht="17.25" customHeight="1">
      <c r="A22" s="325" t="s">
        <v>680</v>
      </c>
      <c r="B22" s="326"/>
      <c r="C22" s="323" t="s">
        <v>79</v>
      </c>
      <c r="D22" s="324"/>
      <c r="E22" s="278">
        <v>3.595</v>
      </c>
      <c r="F22" s="121" t="s">
        <v>681</v>
      </c>
      <c r="H22" s="93" t="str">
        <f t="shared" si="0"/>
        <v>Aluminium Conductor Steel Reinforced scrap, Lying at CS Sangrur. Quantity in MT - 3.595</v>
      </c>
    </row>
    <row r="23" spans="1:8" ht="17.25" customHeight="1">
      <c r="A23" s="325" t="s">
        <v>427</v>
      </c>
      <c r="B23" s="326"/>
      <c r="C23" s="323" t="s">
        <v>700</v>
      </c>
      <c r="D23" s="324"/>
      <c r="E23" s="303">
        <v>3.417</v>
      </c>
      <c r="F23" s="121" t="s">
        <v>681</v>
      </c>
      <c r="H23" s="93" t="str">
        <f t="shared" si="0"/>
        <v>Aluminium Conductor Steel Reinforced scrap, Lying at CS Patiala (.01 MT Intermingle). Quantity in MT - 3.417</v>
      </c>
    </row>
    <row r="24" spans="1:8" ht="17.25" customHeight="1">
      <c r="A24" s="325" t="s">
        <v>525</v>
      </c>
      <c r="B24" s="326"/>
      <c r="C24" s="323" t="s">
        <v>701</v>
      </c>
      <c r="D24" s="324"/>
      <c r="E24" s="303">
        <v>0.43</v>
      </c>
      <c r="F24" s="121" t="s">
        <v>681</v>
      </c>
      <c r="H24" s="93" t="str">
        <f t="shared" si="0"/>
        <v>Aluminium Conductor Steel Reinforced scrap, Lying at Outlet store Nabha. Quantity in MT - 0.43</v>
      </c>
    </row>
    <row r="25" spans="1:8" ht="17.25" customHeight="1">
      <c r="A25" s="325" t="s">
        <v>704</v>
      </c>
      <c r="B25" s="326"/>
      <c r="C25" s="323" t="s">
        <v>186</v>
      </c>
      <c r="D25" s="324"/>
      <c r="E25" s="314">
        <v>5.128</v>
      </c>
      <c r="F25" s="121" t="s">
        <v>681</v>
      </c>
      <c r="H25" s="93" t="str">
        <f t="shared" si="0"/>
        <v>Aluminium Conductor Steel Reinforced scrap, Lying at Outlet store Mansa. Quantity in MT - 5.128</v>
      </c>
    </row>
    <row r="26" spans="1:8" ht="17.25" customHeight="1" thickBot="1">
      <c r="A26" s="325" t="s">
        <v>593</v>
      </c>
      <c r="B26" s="326"/>
      <c r="C26" s="323" t="s">
        <v>711</v>
      </c>
      <c r="D26" s="324"/>
      <c r="E26" s="314">
        <v>1.891</v>
      </c>
      <c r="F26" s="121" t="s">
        <v>681</v>
      </c>
      <c r="H26" s="93" t="str">
        <f t="shared" si="0"/>
        <v>Aluminium Conductor Steel Reinforced scrap, Lying at CS Mohali (.134 MT intermingle). Quantity in MT - 1.891</v>
      </c>
    </row>
    <row r="27" spans="1:5" ht="17.25" customHeight="1" thickBot="1">
      <c r="A27" s="394" t="s">
        <v>113</v>
      </c>
      <c r="B27" s="395"/>
      <c r="C27" s="403"/>
      <c r="D27" s="403"/>
      <c r="E27" s="124">
        <f>SUM(E6:E26)</f>
        <v>123.75100000000002</v>
      </c>
    </row>
    <row r="28" spans="1:5" ht="17.25" customHeight="1">
      <c r="A28" s="142"/>
      <c r="B28" s="142"/>
      <c r="C28" s="141"/>
      <c r="D28" s="141"/>
      <c r="E28" s="143"/>
    </row>
    <row r="29" spans="1:5" ht="17.25" customHeight="1">
      <c r="A29" s="396" t="s">
        <v>374</v>
      </c>
      <c r="B29" s="397"/>
      <c r="C29" s="397"/>
      <c r="D29" s="397"/>
      <c r="E29" s="65" t="s">
        <v>7</v>
      </c>
    </row>
    <row r="30" spans="1:8" ht="17.25" customHeight="1">
      <c r="A30" s="329" t="s">
        <v>375</v>
      </c>
      <c r="B30" s="329"/>
      <c r="C30" s="329" t="s">
        <v>266</v>
      </c>
      <c r="D30" s="329"/>
      <c r="E30" s="73">
        <v>0.431</v>
      </c>
      <c r="H30" s="93" t="str">
        <f>CONCATENATE("LT ABC Cable scrap without insulation, Lying at ",C30,". Quantity in MT - ",E30,)</f>
        <v>LT ABC Cable scrap without insulation, Lying at Outlet store Moga. Quantity in MT - 0.431</v>
      </c>
    </row>
    <row r="31" spans="1:8" ht="17.25" customHeight="1" thickBot="1">
      <c r="A31" s="347" t="s">
        <v>405</v>
      </c>
      <c r="B31" s="348"/>
      <c r="C31" s="324" t="s">
        <v>231</v>
      </c>
      <c r="D31" s="404"/>
      <c r="E31" s="317">
        <v>1.128</v>
      </c>
      <c r="F31" s="1">
        <v>1.088</v>
      </c>
      <c r="H31" s="93" t="str">
        <f>CONCATENATE("LT ABC Cable scrap without insulation, Lying at ",C31,". Quantity in MT - ",E31,)</f>
        <v>LT ABC Cable scrap without insulation, Lying at Outlet store Rajpura. Quantity in MT - 1.128</v>
      </c>
    </row>
    <row r="32" spans="1:5" ht="17.25" customHeight="1" thickBot="1">
      <c r="A32" s="383" t="s">
        <v>113</v>
      </c>
      <c r="B32" s="384"/>
      <c r="C32" s="391"/>
      <c r="D32" s="391"/>
      <c r="E32" s="152">
        <f>E30+E31</f>
        <v>1.559</v>
      </c>
    </row>
    <row r="33" spans="1:5" ht="17.25" customHeight="1">
      <c r="A33" s="122"/>
      <c r="B33" s="122"/>
      <c r="C33" s="123"/>
      <c r="D33" s="401"/>
      <c r="E33" s="402"/>
    </row>
    <row r="34" spans="1:5" ht="17.25" customHeight="1">
      <c r="A34" s="385" t="s">
        <v>12</v>
      </c>
      <c r="B34" s="386"/>
      <c r="C34" s="386"/>
      <c r="D34" s="386"/>
      <c r="E34" s="65" t="s">
        <v>7</v>
      </c>
    </row>
    <row r="35" spans="1:8" ht="17.25" customHeight="1">
      <c r="A35" s="325" t="s">
        <v>73</v>
      </c>
      <c r="B35" s="326"/>
      <c r="C35" s="323" t="s">
        <v>28</v>
      </c>
      <c r="D35" s="323"/>
      <c r="E35" s="247">
        <v>15.303</v>
      </c>
      <c r="F35" s="1">
        <v>8.316</v>
      </c>
      <c r="H35" s="93" t="str">
        <f aca="true" t="shared" si="1" ref="H35:H55">CONCATENATE("Damaged Distribution Transformer's HT/LT Aluminium coils scrap with insulation, Lying at ",C35,". Quantity in MT - ",E35,)</f>
        <v>Damaged Distribution Transformer's HT/LT Aluminium coils scrap with insulation, Lying at TRY Malerkotla. Quantity in MT - 15.303</v>
      </c>
    </row>
    <row r="36" spans="1:8" ht="17.25" customHeight="1">
      <c r="A36" s="325" t="s">
        <v>122</v>
      </c>
      <c r="B36" s="326"/>
      <c r="C36" s="323" t="s">
        <v>136</v>
      </c>
      <c r="D36" s="323"/>
      <c r="E36" s="247">
        <v>14.24</v>
      </c>
      <c r="F36" s="1">
        <v>4.066</v>
      </c>
      <c r="H36" s="93" t="str">
        <f t="shared" si="1"/>
        <v>Damaged Distribution Transformer's HT/LT Aluminium coils scrap with insulation, Lying at TRY Patran. Quantity in MT - 14.24</v>
      </c>
    </row>
    <row r="37" spans="1:8" ht="17.25" customHeight="1">
      <c r="A37" s="325" t="s">
        <v>123</v>
      </c>
      <c r="B37" s="326"/>
      <c r="C37" s="329" t="s">
        <v>136</v>
      </c>
      <c r="D37" s="329"/>
      <c r="E37" s="73">
        <v>10</v>
      </c>
      <c r="H37" s="93" t="str">
        <f t="shared" si="1"/>
        <v>Damaged Distribution Transformer's HT/LT Aluminium coils scrap with insulation, Lying at TRY Patran. Quantity in MT - 10</v>
      </c>
    </row>
    <row r="38" spans="1:8" ht="17.25" customHeight="1">
      <c r="A38" s="325" t="s">
        <v>205</v>
      </c>
      <c r="B38" s="326"/>
      <c r="C38" s="323" t="s">
        <v>247</v>
      </c>
      <c r="D38" s="323"/>
      <c r="E38" s="247">
        <v>16.84</v>
      </c>
      <c r="F38" s="1">
        <v>12.08</v>
      </c>
      <c r="H38" s="93" t="str">
        <f t="shared" si="1"/>
        <v>Damaged Distribution Transformer's HT/LT Aluminium coils scrap with insulation, Lying at TRY Kotkapura. Quantity in MT - 16.84</v>
      </c>
    </row>
    <row r="39" spans="1:8" ht="17.25" customHeight="1">
      <c r="A39" s="325" t="s">
        <v>158</v>
      </c>
      <c r="B39" s="326"/>
      <c r="C39" s="329" t="s">
        <v>247</v>
      </c>
      <c r="D39" s="329"/>
      <c r="E39" s="73">
        <v>10</v>
      </c>
      <c r="H39" s="93" t="str">
        <f t="shared" si="1"/>
        <v>Damaged Distribution Transformer's HT/LT Aluminium coils scrap with insulation, Lying at TRY Kotkapura. Quantity in MT - 10</v>
      </c>
    </row>
    <row r="40" spans="1:8" ht="17.25" customHeight="1">
      <c r="A40" s="325" t="s">
        <v>187</v>
      </c>
      <c r="B40" s="326"/>
      <c r="C40" s="329" t="s">
        <v>247</v>
      </c>
      <c r="D40" s="329"/>
      <c r="E40" s="73">
        <v>10</v>
      </c>
      <c r="H40" s="93" t="str">
        <f t="shared" si="1"/>
        <v>Damaged Distribution Transformer's HT/LT Aluminium coils scrap with insulation, Lying at TRY Kotkapura. Quantity in MT - 10</v>
      </c>
    </row>
    <row r="41" spans="1:8" ht="17.25" customHeight="1">
      <c r="A41" s="325" t="s">
        <v>248</v>
      </c>
      <c r="B41" s="326"/>
      <c r="C41" s="329" t="s">
        <v>247</v>
      </c>
      <c r="D41" s="329"/>
      <c r="E41" s="73">
        <v>10</v>
      </c>
      <c r="H41" s="93" t="str">
        <f t="shared" si="1"/>
        <v>Damaged Distribution Transformer's HT/LT Aluminium coils scrap with insulation, Lying at TRY Kotkapura. Quantity in MT - 10</v>
      </c>
    </row>
    <row r="42" spans="1:8" ht="17.25" customHeight="1">
      <c r="A42" s="325" t="s">
        <v>165</v>
      </c>
      <c r="B42" s="326"/>
      <c r="C42" s="329" t="s">
        <v>164</v>
      </c>
      <c r="D42" s="329"/>
      <c r="E42" s="73">
        <v>15</v>
      </c>
      <c r="F42" s="121"/>
      <c r="H42" s="93" t="str">
        <f t="shared" si="1"/>
        <v>Damaged Distribution Transformer's HT/LT Aluminium coils scrap with insulation, Lying at TRY Malout. Quantity in MT - 15</v>
      </c>
    </row>
    <row r="43" spans="1:8" ht="17.25" customHeight="1">
      <c r="A43" s="325" t="s">
        <v>250</v>
      </c>
      <c r="B43" s="326"/>
      <c r="C43" s="329" t="s">
        <v>164</v>
      </c>
      <c r="D43" s="329"/>
      <c r="E43" s="73">
        <v>14.154</v>
      </c>
      <c r="F43" s="121"/>
      <c r="G43" s="121"/>
      <c r="H43" s="93" t="str">
        <f t="shared" si="1"/>
        <v>Damaged Distribution Transformer's HT/LT Aluminium coils scrap with insulation, Lying at TRY Malout. Quantity in MT - 14.154</v>
      </c>
    </row>
    <row r="44" spans="1:8" ht="17.25" customHeight="1">
      <c r="A44" s="325" t="s">
        <v>263</v>
      </c>
      <c r="B44" s="326"/>
      <c r="C44" s="329" t="s">
        <v>166</v>
      </c>
      <c r="D44" s="329"/>
      <c r="E44" s="73">
        <v>16</v>
      </c>
      <c r="H44" s="93" t="str">
        <f t="shared" si="1"/>
        <v>Damaged Distribution Transformer's HT/LT Aluminium coils scrap with insulation, Lying at TRY Mansa. Quantity in MT - 16</v>
      </c>
    </row>
    <row r="45" spans="1:8" ht="17.25" customHeight="1">
      <c r="A45" s="325" t="s">
        <v>456</v>
      </c>
      <c r="B45" s="326"/>
      <c r="C45" s="329" t="s">
        <v>166</v>
      </c>
      <c r="D45" s="329"/>
      <c r="E45" s="73">
        <v>16.423</v>
      </c>
      <c r="F45" s="121"/>
      <c r="G45" s="1">
        <v>7.783000000000001</v>
      </c>
      <c r="H45" s="93" t="str">
        <f t="shared" si="1"/>
        <v>Damaged Distribution Transformer's HT/LT Aluminium coils scrap with insulation, Lying at TRY Mansa. Quantity in MT - 16.423</v>
      </c>
    </row>
    <row r="46" spans="1:8" ht="17.25" customHeight="1">
      <c r="A46" s="325" t="s">
        <v>499</v>
      </c>
      <c r="B46" s="326"/>
      <c r="C46" s="329" t="s">
        <v>166</v>
      </c>
      <c r="D46" s="329"/>
      <c r="E46" s="73">
        <v>10</v>
      </c>
      <c r="H46" s="93" t="str">
        <f t="shared" si="1"/>
        <v>Damaged Distribution Transformer's HT/LT Aluminium coils scrap with insulation, Lying at TRY Mansa. Quantity in MT - 10</v>
      </c>
    </row>
    <row r="47" spans="1:8" ht="17.25" customHeight="1">
      <c r="A47" s="325" t="s">
        <v>500</v>
      </c>
      <c r="B47" s="326"/>
      <c r="C47" s="329" t="s">
        <v>166</v>
      </c>
      <c r="D47" s="329"/>
      <c r="E47" s="73">
        <v>10</v>
      </c>
      <c r="H47" s="93" t="str">
        <f t="shared" si="1"/>
        <v>Damaged Distribution Transformer's HT/LT Aluminium coils scrap with insulation, Lying at TRY Mansa. Quantity in MT - 10</v>
      </c>
    </row>
    <row r="48" spans="1:8" ht="17.25" customHeight="1">
      <c r="A48" s="325" t="s">
        <v>585</v>
      </c>
      <c r="B48" s="326"/>
      <c r="C48" s="329" t="s">
        <v>143</v>
      </c>
      <c r="D48" s="329"/>
      <c r="E48" s="73">
        <v>3.66</v>
      </c>
      <c r="H48" s="93" t="str">
        <f t="shared" si="1"/>
        <v>Damaged Distribution Transformer's HT/LT Aluminium coils scrap with insulation, Lying at TRY Ropar. Quantity in MT - 3.66</v>
      </c>
    </row>
    <row r="49" spans="1:8" ht="17.25" customHeight="1">
      <c r="A49" s="325" t="s">
        <v>594</v>
      </c>
      <c r="B49" s="326"/>
      <c r="C49" s="323" t="s">
        <v>36</v>
      </c>
      <c r="D49" s="323"/>
      <c r="E49" s="247">
        <v>17.38</v>
      </c>
      <c r="F49" s="1">
        <v>6.98</v>
      </c>
      <c r="H49" s="93" t="str">
        <f t="shared" si="1"/>
        <v>Damaged Distribution Transformer's HT/LT Aluminium coils scrap with insulation, Lying at TRY Bathinda. Quantity in MT - 17.38</v>
      </c>
    </row>
    <row r="50" spans="1:8" ht="17.25" customHeight="1">
      <c r="A50" s="325" t="s">
        <v>595</v>
      </c>
      <c r="B50" s="326"/>
      <c r="C50" s="334" t="s">
        <v>135</v>
      </c>
      <c r="D50" s="334"/>
      <c r="E50" s="73">
        <v>14.7</v>
      </c>
      <c r="F50" s="121"/>
      <c r="H50" s="93" t="str">
        <f t="shared" si="1"/>
        <v>Damaged Distribution Transformer's HT/LT Aluminium coils scrap with insulation, Lying at TRY Sangrur. Quantity in MT - 14.7</v>
      </c>
    </row>
    <row r="51" spans="1:8" ht="17.25" customHeight="1">
      <c r="A51" s="325" t="s">
        <v>596</v>
      </c>
      <c r="B51" s="326"/>
      <c r="C51" s="334" t="s">
        <v>135</v>
      </c>
      <c r="D51" s="334"/>
      <c r="E51" s="73">
        <v>10</v>
      </c>
      <c r="H51" s="93" t="str">
        <f t="shared" si="1"/>
        <v>Damaged Distribution Transformer's HT/LT Aluminium coils scrap with insulation, Lying at TRY Sangrur. Quantity in MT - 10</v>
      </c>
    </row>
    <row r="52" spans="1:8" ht="17.25" customHeight="1">
      <c r="A52" s="325" t="s">
        <v>598</v>
      </c>
      <c r="B52" s="326"/>
      <c r="C52" s="334" t="s">
        <v>132</v>
      </c>
      <c r="D52" s="334"/>
      <c r="E52" s="73">
        <v>7.16</v>
      </c>
      <c r="H52" s="93" t="str">
        <f t="shared" si="1"/>
        <v>Damaged Distribution Transformer's HT/LT Aluminium coils scrap with insulation, Lying at TRY Bhagta Bhai Ka. Quantity in MT - 7.16</v>
      </c>
    </row>
    <row r="53" spans="1:8" ht="17.25" customHeight="1">
      <c r="A53" s="325" t="s">
        <v>607</v>
      </c>
      <c r="B53" s="326"/>
      <c r="C53" s="334" t="s">
        <v>132</v>
      </c>
      <c r="D53" s="334"/>
      <c r="E53" s="73">
        <v>10</v>
      </c>
      <c r="H53" s="93" t="str">
        <f t="shared" si="1"/>
        <v>Damaged Distribution Transformer's HT/LT Aluminium coils scrap with insulation, Lying at TRY Bhagta Bhai Ka. Quantity in MT - 10</v>
      </c>
    </row>
    <row r="54" spans="1:8" ht="17.25" customHeight="1">
      <c r="A54" s="325" t="s">
        <v>608</v>
      </c>
      <c r="B54" s="326"/>
      <c r="C54" s="329" t="s">
        <v>42</v>
      </c>
      <c r="D54" s="329"/>
      <c r="E54" s="73">
        <v>4.435</v>
      </c>
      <c r="H54" s="93" t="str">
        <f t="shared" si="1"/>
        <v>Damaged Distribution Transformer's HT/LT Aluminium coils scrap with insulation, Lying at TRY Ferozepur. Quantity in MT - 4.435</v>
      </c>
    </row>
    <row r="55" spans="1:8" ht="17.25" customHeight="1" thickBot="1">
      <c r="A55" s="325" t="s">
        <v>696</v>
      </c>
      <c r="B55" s="326"/>
      <c r="C55" s="330" t="s">
        <v>325</v>
      </c>
      <c r="D55" s="330"/>
      <c r="E55" s="247">
        <v>7.746</v>
      </c>
      <c r="F55" s="1" t="s">
        <v>681</v>
      </c>
      <c r="H55" s="300" t="str">
        <f t="shared" si="1"/>
        <v>Damaged Distribution Transformer's HT/LT Aluminium coils scrap with insulation, Lying at TRY Barnala. Quantity in MT - 7.746</v>
      </c>
    </row>
    <row r="56" spans="1:5" ht="17.25" customHeight="1" thickBot="1">
      <c r="A56" s="383" t="s">
        <v>113</v>
      </c>
      <c r="B56" s="384"/>
      <c r="C56" s="407"/>
      <c r="D56" s="408"/>
      <c r="E56" s="124">
        <f>SUM(E35:E55)</f>
        <v>243.04099999999997</v>
      </c>
    </row>
    <row r="57" spans="1:8" ht="17.25" customHeight="1">
      <c r="A57" s="398"/>
      <c r="B57" s="398"/>
      <c r="C57" s="398"/>
      <c r="D57" s="398"/>
      <c r="E57" s="399"/>
      <c r="H57" s="111"/>
    </row>
    <row r="58" spans="1:5" ht="17.25" customHeight="1">
      <c r="A58" s="405" t="s">
        <v>107</v>
      </c>
      <c r="B58" s="405"/>
      <c r="C58" s="405"/>
      <c r="D58" s="405"/>
      <c r="E58" s="406"/>
    </row>
    <row r="59" spans="1:5" ht="17.25" customHeight="1">
      <c r="A59" s="392" t="s">
        <v>695</v>
      </c>
      <c r="B59" s="393"/>
      <c r="C59" s="393"/>
      <c r="D59" s="393"/>
      <c r="E59" s="393"/>
    </row>
    <row r="60" spans="1:5" ht="17.25" customHeight="1">
      <c r="A60" s="89"/>
      <c r="B60" s="90"/>
      <c r="C60" s="90"/>
      <c r="D60" s="90"/>
      <c r="E60" s="90"/>
    </row>
    <row r="61" spans="1:6" ht="29.25" customHeight="1">
      <c r="A61" s="325" t="s">
        <v>242</v>
      </c>
      <c r="B61" s="334"/>
      <c r="C61" s="334"/>
      <c r="D61" s="334"/>
      <c r="E61" s="326"/>
      <c r="F61" s="1">
        <f>B76+B90+B102+B116+B131+B144+B152+B166+B179+B199+B212+B226+B246+B259+B272+B291+B311+B335+B357+B370+B384+B404+B418+B435+B448+B464+B478+B501+B519+B533+B551+B569+B579+B593+B611+B631</f>
        <v>2865</v>
      </c>
    </row>
    <row r="62" spans="1:5" ht="24.75" customHeight="1">
      <c r="A62" s="40" t="s">
        <v>212</v>
      </c>
      <c r="B62" s="40" t="s">
        <v>213</v>
      </c>
      <c r="C62" s="40" t="s">
        <v>214</v>
      </c>
      <c r="D62" s="40" t="s">
        <v>215</v>
      </c>
      <c r="E62" s="39" t="s">
        <v>216</v>
      </c>
    </row>
    <row r="63" spans="1:6" ht="17.25" customHeight="1">
      <c r="A63" s="331" t="s">
        <v>217</v>
      </c>
      <c r="B63" s="332"/>
      <c r="C63" s="333"/>
      <c r="D63" s="199"/>
      <c r="E63" s="202"/>
      <c r="F63" s="1">
        <f>B64+B65+B66+B67+B68+B70+B71+B72+B73+B74</f>
        <v>249</v>
      </c>
    </row>
    <row r="64" spans="1:5" ht="17.25" customHeight="1">
      <c r="A64" s="112">
        <v>90</v>
      </c>
      <c r="B64" s="113">
        <v>27</v>
      </c>
      <c r="C64" s="113" t="s">
        <v>218</v>
      </c>
      <c r="D64" s="112" t="s">
        <v>219</v>
      </c>
      <c r="E64" s="113">
        <v>1301</v>
      </c>
    </row>
    <row r="65" spans="1:5" ht="17.25" customHeight="1">
      <c r="A65" s="112">
        <v>91</v>
      </c>
      <c r="B65" s="113">
        <v>25</v>
      </c>
      <c r="C65" s="113" t="s">
        <v>218</v>
      </c>
      <c r="D65" s="112" t="s">
        <v>220</v>
      </c>
      <c r="E65" s="113">
        <v>1214</v>
      </c>
    </row>
    <row r="66" spans="1:5" ht="17.25" customHeight="1">
      <c r="A66" s="112">
        <v>92</v>
      </c>
      <c r="B66" s="113">
        <v>14</v>
      </c>
      <c r="C66" s="113" t="s">
        <v>218</v>
      </c>
      <c r="D66" s="112" t="s">
        <v>221</v>
      </c>
      <c r="E66" s="113">
        <v>678</v>
      </c>
    </row>
    <row r="67" spans="1:5" ht="17.25" customHeight="1">
      <c r="A67" s="112">
        <v>93</v>
      </c>
      <c r="B67" s="113">
        <v>25</v>
      </c>
      <c r="C67" s="113" t="s">
        <v>218</v>
      </c>
      <c r="D67" s="112" t="s">
        <v>226</v>
      </c>
      <c r="E67" s="113">
        <v>1201</v>
      </c>
    </row>
    <row r="68" spans="1:5" ht="17.25" customHeight="1">
      <c r="A68" s="112">
        <v>94</v>
      </c>
      <c r="B68" s="113">
        <v>18</v>
      </c>
      <c r="C68" s="113" t="s">
        <v>218</v>
      </c>
      <c r="D68" s="112" t="s">
        <v>227</v>
      </c>
      <c r="E68" s="113">
        <v>835</v>
      </c>
    </row>
    <row r="69" spans="1:5" ht="72.75" customHeight="1">
      <c r="A69" s="112">
        <v>95</v>
      </c>
      <c r="B69" s="113">
        <v>20</v>
      </c>
      <c r="C69" s="125" t="s">
        <v>241</v>
      </c>
      <c r="D69" s="118" t="s">
        <v>257</v>
      </c>
      <c r="E69" s="117">
        <v>4276</v>
      </c>
    </row>
    <row r="70" spans="1:5" ht="17.25" customHeight="1">
      <c r="A70" s="112">
        <v>96</v>
      </c>
      <c r="B70" s="113">
        <v>27</v>
      </c>
      <c r="C70" s="114" t="s">
        <v>218</v>
      </c>
      <c r="D70" s="112" t="s">
        <v>258</v>
      </c>
      <c r="E70" s="117">
        <v>1303</v>
      </c>
    </row>
    <row r="71" spans="1:5" ht="17.25" customHeight="1">
      <c r="A71" s="112">
        <v>97</v>
      </c>
      <c r="B71" s="113">
        <v>26</v>
      </c>
      <c r="C71" s="114" t="s">
        <v>218</v>
      </c>
      <c r="D71" s="112" t="s">
        <v>259</v>
      </c>
      <c r="E71" s="117">
        <v>1209</v>
      </c>
    </row>
    <row r="72" spans="1:5" ht="17.25" customHeight="1">
      <c r="A72" s="112">
        <v>98</v>
      </c>
      <c r="B72" s="113">
        <v>27</v>
      </c>
      <c r="C72" s="114" t="s">
        <v>225</v>
      </c>
      <c r="D72" s="118" t="s">
        <v>258</v>
      </c>
      <c r="E72" s="113">
        <v>1286</v>
      </c>
    </row>
    <row r="73" spans="1:5" ht="17.25" customHeight="1">
      <c r="A73" s="112">
        <v>99</v>
      </c>
      <c r="B73" s="113">
        <v>30</v>
      </c>
      <c r="C73" s="114" t="s">
        <v>225</v>
      </c>
      <c r="D73" s="118" t="s">
        <v>260</v>
      </c>
      <c r="E73" s="113">
        <v>1365</v>
      </c>
    </row>
    <row r="74" spans="1:5" ht="17.25" customHeight="1">
      <c r="A74" s="112">
        <v>100</v>
      </c>
      <c r="B74" s="113">
        <v>30</v>
      </c>
      <c r="C74" s="114" t="s">
        <v>225</v>
      </c>
      <c r="D74" s="118" t="s">
        <v>260</v>
      </c>
      <c r="E74" s="113">
        <v>1374</v>
      </c>
    </row>
    <row r="75" spans="1:5" ht="17.25" customHeight="1">
      <c r="A75" s="201"/>
      <c r="B75" s="126">
        <f>SUM(B64:B74)</f>
        <v>269</v>
      </c>
      <c r="C75" s="126"/>
      <c r="D75" s="126"/>
      <c r="E75" s="126">
        <f>SUM(E64:E74)</f>
        <v>16042</v>
      </c>
    </row>
    <row r="76" spans="1:5" ht="17.25" customHeight="1">
      <c r="A76" s="199" t="s">
        <v>14</v>
      </c>
      <c r="B76" s="126">
        <f>B75</f>
        <v>269</v>
      </c>
      <c r="C76" s="126"/>
      <c r="D76" s="126"/>
      <c r="E76" s="126">
        <f>E75</f>
        <v>16042</v>
      </c>
    </row>
    <row r="77" spans="1:5" ht="17.25" customHeight="1">
      <c r="A77" s="202"/>
      <c r="B77" s="127"/>
      <c r="C77" s="127"/>
      <c r="D77" s="127"/>
      <c r="E77" s="127"/>
    </row>
    <row r="78" spans="1:5" ht="27.75" customHeight="1">
      <c r="A78" s="325" t="s">
        <v>293</v>
      </c>
      <c r="B78" s="334"/>
      <c r="C78" s="334"/>
      <c r="D78" s="334"/>
      <c r="E78" s="334"/>
    </row>
    <row r="79" spans="1:5" ht="24.75" customHeight="1">
      <c r="A79" s="40" t="s">
        <v>212</v>
      </c>
      <c r="B79" s="40" t="s">
        <v>213</v>
      </c>
      <c r="C79" s="40" t="s">
        <v>214</v>
      </c>
      <c r="D79" s="40" t="s">
        <v>215</v>
      </c>
      <c r="E79" s="39" t="s">
        <v>216</v>
      </c>
    </row>
    <row r="80" spans="1:5" ht="17.25" customHeight="1">
      <c r="A80" s="331" t="s">
        <v>223</v>
      </c>
      <c r="B80" s="332"/>
      <c r="C80" s="333"/>
      <c r="D80" s="40"/>
      <c r="E80" s="39"/>
    </row>
    <row r="81" spans="1:5" ht="17.25" customHeight="1">
      <c r="A81" s="110" t="s">
        <v>280</v>
      </c>
      <c r="B81" s="105">
        <v>7</v>
      </c>
      <c r="C81" s="105" t="s">
        <v>228</v>
      </c>
      <c r="D81" s="105" t="s">
        <v>281</v>
      </c>
      <c r="E81" s="105">
        <v>780</v>
      </c>
    </row>
    <row r="82" spans="1:5" ht="17.25" customHeight="1">
      <c r="A82" s="201"/>
      <c r="B82" s="88">
        <f>SUM(B81:B81)</f>
        <v>7</v>
      </c>
      <c r="C82" s="88"/>
      <c r="D82" s="88"/>
      <c r="E82" s="88">
        <f>SUM(E81:E81)</f>
        <v>780</v>
      </c>
    </row>
    <row r="83" spans="1:5" ht="17.25" customHeight="1">
      <c r="A83" s="331" t="s">
        <v>217</v>
      </c>
      <c r="B83" s="332"/>
      <c r="C83" s="333"/>
      <c r="D83" s="34"/>
      <c r="E83" s="34"/>
    </row>
    <row r="84" spans="1:5" ht="17.25" customHeight="1">
      <c r="A84" s="110" t="s">
        <v>282</v>
      </c>
      <c r="B84" s="105">
        <v>4</v>
      </c>
      <c r="C84" s="109" t="s">
        <v>232</v>
      </c>
      <c r="D84" s="105" t="s">
        <v>283</v>
      </c>
      <c r="E84" s="105">
        <v>466</v>
      </c>
    </row>
    <row r="85" spans="1:5" ht="17.25" customHeight="1">
      <c r="A85" s="110" t="s">
        <v>282</v>
      </c>
      <c r="B85" s="105">
        <v>1</v>
      </c>
      <c r="C85" s="109" t="s">
        <v>241</v>
      </c>
      <c r="D85" s="105" t="s">
        <v>261</v>
      </c>
      <c r="E85" s="105">
        <v>220</v>
      </c>
    </row>
    <row r="86" spans="1:5" ht="17.25" customHeight="1">
      <c r="A86" s="110" t="s">
        <v>282</v>
      </c>
      <c r="B86" s="105">
        <v>1</v>
      </c>
      <c r="C86" s="109" t="s">
        <v>244</v>
      </c>
      <c r="D86" s="105" t="s">
        <v>284</v>
      </c>
      <c r="E86" s="105">
        <v>295</v>
      </c>
    </row>
    <row r="87" spans="1:5" ht="17.25" customHeight="1">
      <c r="A87" s="110" t="s">
        <v>285</v>
      </c>
      <c r="B87" s="105">
        <v>1</v>
      </c>
      <c r="C87" s="105" t="s">
        <v>228</v>
      </c>
      <c r="D87" s="40" t="s">
        <v>245</v>
      </c>
      <c r="E87" s="105">
        <v>87</v>
      </c>
    </row>
    <row r="88" spans="1:5" ht="17.25" customHeight="1">
      <c r="A88" s="110" t="s">
        <v>286</v>
      </c>
      <c r="B88" s="105">
        <v>1</v>
      </c>
      <c r="C88" s="109" t="s">
        <v>232</v>
      </c>
      <c r="D88" s="40" t="s">
        <v>245</v>
      </c>
      <c r="E88" s="105">
        <v>115</v>
      </c>
    </row>
    <row r="89" spans="1:5" ht="17.25" customHeight="1">
      <c r="A89" s="40"/>
      <c r="B89" s="199">
        <f>SUM(B84:B88)</f>
        <v>8</v>
      </c>
      <c r="C89" s="199"/>
      <c r="D89" s="199"/>
      <c r="E89" s="199">
        <f>SUM(E84:E88)</f>
        <v>1183</v>
      </c>
    </row>
    <row r="90" spans="1:5" ht="17.25" customHeight="1">
      <c r="A90" s="199" t="s">
        <v>14</v>
      </c>
      <c r="B90" s="126">
        <f>B82+B89</f>
        <v>15</v>
      </c>
      <c r="C90" s="126"/>
      <c r="D90" s="126"/>
      <c r="E90" s="126">
        <f>E82+E89</f>
        <v>1963</v>
      </c>
    </row>
    <row r="91" spans="1:5" ht="17.25" customHeight="1">
      <c r="A91" s="202"/>
      <c r="B91" s="127"/>
      <c r="C91" s="128"/>
      <c r="D91" s="126"/>
      <c r="E91" s="126"/>
    </row>
    <row r="92" spans="1:5" ht="33.75" customHeight="1">
      <c r="A92" s="325" t="s">
        <v>390</v>
      </c>
      <c r="B92" s="334"/>
      <c r="C92" s="334"/>
      <c r="D92" s="334"/>
      <c r="E92" s="334"/>
    </row>
    <row r="93" spans="1:5" ht="23.25" customHeight="1">
      <c r="A93" s="40">
        <v>44</v>
      </c>
      <c r="B93" s="40" t="s">
        <v>213</v>
      </c>
      <c r="C93" s="40" t="s">
        <v>214</v>
      </c>
      <c r="D93" s="40" t="s">
        <v>215</v>
      </c>
      <c r="E93" s="39" t="s">
        <v>216</v>
      </c>
    </row>
    <row r="94" spans="1:5" ht="17.25" customHeight="1">
      <c r="A94" s="331" t="s">
        <v>223</v>
      </c>
      <c r="B94" s="332"/>
      <c r="C94" s="333"/>
      <c r="D94" s="40"/>
      <c r="E94" s="39"/>
    </row>
    <row r="95" spans="1:5" ht="17.25" customHeight="1">
      <c r="A95" s="45">
        <v>756</v>
      </c>
      <c r="B95" s="45">
        <v>3</v>
      </c>
      <c r="C95" s="45" t="s">
        <v>225</v>
      </c>
      <c r="D95" s="45" t="s">
        <v>288</v>
      </c>
      <c r="E95" s="45">
        <v>226</v>
      </c>
    </row>
    <row r="96" spans="1:5" ht="17.25" customHeight="1">
      <c r="A96" s="45">
        <v>757</v>
      </c>
      <c r="B96" s="45">
        <v>10</v>
      </c>
      <c r="C96" s="45" t="s">
        <v>228</v>
      </c>
      <c r="D96" s="45" t="s">
        <v>289</v>
      </c>
      <c r="E96" s="45">
        <v>1056</v>
      </c>
    </row>
    <row r="97" spans="1:5" ht="17.25" customHeight="1">
      <c r="A97" s="201"/>
      <c r="B97" s="88">
        <f>SUM(B95:B96)</f>
        <v>13</v>
      </c>
      <c r="C97" s="88"/>
      <c r="D97" s="88"/>
      <c r="E97" s="88">
        <f>SUM(E95:E96)</f>
        <v>1282</v>
      </c>
    </row>
    <row r="98" spans="1:5" ht="17.25" customHeight="1">
      <c r="A98" s="331" t="s">
        <v>217</v>
      </c>
      <c r="B98" s="332"/>
      <c r="C98" s="333"/>
      <c r="D98" s="34"/>
      <c r="E98" s="34"/>
    </row>
    <row r="99" spans="1:5" ht="17.25" customHeight="1">
      <c r="A99" s="45">
        <v>758</v>
      </c>
      <c r="B99" s="45">
        <v>8</v>
      </c>
      <c r="C99" s="45" t="s">
        <v>225</v>
      </c>
      <c r="D99" s="45" t="s">
        <v>290</v>
      </c>
      <c r="E99" s="45">
        <v>586</v>
      </c>
    </row>
    <row r="100" spans="1:5" ht="17.25" customHeight="1">
      <c r="A100" s="45">
        <v>759</v>
      </c>
      <c r="B100" s="45">
        <v>1</v>
      </c>
      <c r="C100" s="45" t="s">
        <v>228</v>
      </c>
      <c r="D100" s="45" t="s">
        <v>238</v>
      </c>
      <c r="E100" s="45">
        <v>82</v>
      </c>
    </row>
    <row r="101" spans="1:5" ht="17.25" customHeight="1">
      <c r="A101" s="40"/>
      <c r="B101" s="199">
        <f>SUM(B99:B100)</f>
        <v>9</v>
      </c>
      <c r="C101" s="199"/>
      <c r="D101" s="199"/>
      <c r="E101" s="199">
        <f>SUM(E99:E100)</f>
        <v>668</v>
      </c>
    </row>
    <row r="102" spans="1:5" ht="17.25" customHeight="1">
      <c r="A102" s="199" t="s">
        <v>14</v>
      </c>
      <c r="B102" s="126">
        <f>B97+B101</f>
        <v>22</v>
      </c>
      <c r="C102" s="126"/>
      <c r="D102" s="126"/>
      <c r="E102" s="126">
        <f>E97+E101</f>
        <v>1950</v>
      </c>
    </row>
    <row r="103" spans="1:5" ht="17.25" customHeight="1">
      <c r="A103" s="202"/>
      <c r="B103" s="127"/>
      <c r="C103" s="128"/>
      <c r="D103" s="126"/>
      <c r="E103" s="126"/>
    </row>
    <row r="104" spans="1:5" ht="31.5" customHeight="1">
      <c r="A104" s="325" t="s">
        <v>391</v>
      </c>
      <c r="B104" s="334"/>
      <c r="C104" s="334"/>
      <c r="D104" s="334"/>
      <c r="E104" s="334"/>
    </row>
    <row r="105" spans="1:5" ht="24.75" customHeight="1">
      <c r="A105" s="40" t="s">
        <v>212</v>
      </c>
      <c r="B105" s="40" t="s">
        <v>213</v>
      </c>
      <c r="C105" s="40" t="s">
        <v>214</v>
      </c>
      <c r="D105" s="40" t="s">
        <v>215</v>
      </c>
      <c r="E105" s="39" t="s">
        <v>216</v>
      </c>
    </row>
    <row r="106" spans="1:5" ht="17.25" customHeight="1">
      <c r="A106" s="331" t="s">
        <v>223</v>
      </c>
      <c r="B106" s="332"/>
      <c r="C106" s="333"/>
      <c r="D106" s="40"/>
      <c r="E106" s="39"/>
    </row>
    <row r="107" spans="1:5" ht="17.25" customHeight="1">
      <c r="A107" s="40">
        <v>996</v>
      </c>
      <c r="B107" s="40">
        <v>3</v>
      </c>
      <c r="C107" s="40" t="s">
        <v>218</v>
      </c>
      <c r="D107" s="40" t="s">
        <v>294</v>
      </c>
      <c r="E107" s="106">
        <v>216</v>
      </c>
    </row>
    <row r="108" spans="1:5" ht="17.25" customHeight="1">
      <c r="A108" s="40">
        <v>997</v>
      </c>
      <c r="B108" s="40">
        <v>3</v>
      </c>
      <c r="C108" s="40" t="s">
        <v>237</v>
      </c>
      <c r="D108" s="40" t="s">
        <v>295</v>
      </c>
      <c r="E108" s="106">
        <v>304</v>
      </c>
    </row>
    <row r="109" spans="1:5" ht="17.25" customHeight="1">
      <c r="A109" s="201"/>
      <c r="B109" s="88">
        <f>SUM(B107:B108)</f>
        <v>6</v>
      </c>
      <c r="C109" s="88"/>
      <c r="D109" s="88"/>
      <c r="E109" s="88">
        <f>SUM(E107:E108)</f>
        <v>520</v>
      </c>
    </row>
    <row r="110" spans="1:5" ht="17.25" customHeight="1">
      <c r="A110" s="331" t="s">
        <v>217</v>
      </c>
      <c r="B110" s="332"/>
      <c r="C110" s="333"/>
      <c r="D110" s="34"/>
      <c r="E110" s="34"/>
    </row>
    <row r="111" spans="1:5" ht="17.25" customHeight="1">
      <c r="A111" s="70">
        <v>998</v>
      </c>
      <c r="B111" s="91">
        <v>3</v>
      </c>
      <c r="C111" s="70" t="s">
        <v>236</v>
      </c>
      <c r="D111" s="40" t="s">
        <v>240</v>
      </c>
      <c r="E111" s="107">
        <v>137</v>
      </c>
    </row>
    <row r="112" spans="1:5" ht="17.25" customHeight="1">
      <c r="A112" s="70">
        <v>999</v>
      </c>
      <c r="B112" s="91">
        <v>14</v>
      </c>
      <c r="C112" s="70" t="s">
        <v>218</v>
      </c>
      <c r="D112" s="40" t="s">
        <v>296</v>
      </c>
      <c r="E112" s="107">
        <v>1255</v>
      </c>
    </row>
    <row r="113" spans="1:5" ht="17.25" customHeight="1">
      <c r="A113" s="70">
        <v>1000</v>
      </c>
      <c r="B113" s="91">
        <v>7</v>
      </c>
      <c r="C113" s="70" t="s">
        <v>218</v>
      </c>
      <c r="D113" s="40" t="s">
        <v>297</v>
      </c>
      <c r="E113" s="107">
        <v>613</v>
      </c>
    </row>
    <row r="114" spans="1:5" ht="17.25" customHeight="1">
      <c r="A114" s="70">
        <v>1001</v>
      </c>
      <c r="B114" s="91">
        <v>1</v>
      </c>
      <c r="C114" s="70" t="s">
        <v>237</v>
      </c>
      <c r="D114" s="40" t="s">
        <v>239</v>
      </c>
      <c r="E114" s="107">
        <v>101</v>
      </c>
    </row>
    <row r="115" spans="1:5" ht="17.25" customHeight="1">
      <c r="A115" s="40"/>
      <c r="B115" s="199">
        <f>SUM(B111:B114)</f>
        <v>25</v>
      </c>
      <c r="C115" s="199"/>
      <c r="D115" s="199"/>
      <c r="E115" s="199">
        <f>SUM(E111:E114)</f>
        <v>2106</v>
      </c>
    </row>
    <row r="116" spans="1:5" ht="17.25" customHeight="1">
      <c r="A116" s="199" t="s">
        <v>14</v>
      </c>
      <c r="B116" s="126">
        <f>B109+B115</f>
        <v>31</v>
      </c>
      <c r="C116" s="126"/>
      <c r="D116" s="126"/>
      <c r="E116" s="126">
        <f>E109+E115</f>
        <v>2626</v>
      </c>
    </row>
    <row r="117" spans="1:5" ht="17.25" customHeight="1">
      <c r="A117" s="202"/>
      <c r="B117" s="127"/>
      <c r="C117" s="128"/>
      <c r="D117" s="126"/>
      <c r="E117" s="126"/>
    </row>
    <row r="118" spans="1:7" ht="28.5" customHeight="1">
      <c r="A118" s="325" t="s">
        <v>392</v>
      </c>
      <c r="B118" s="334"/>
      <c r="C118" s="334"/>
      <c r="D118" s="334"/>
      <c r="E118" s="334"/>
      <c r="F118" s="132"/>
      <c r="G118" s="132"/>
    </row>
    <row r="119" spans="1:7" ht="26.25" customHeight="1">
      <c r="A119" s="40" t="s">
        <v>212</v>
      </c>
      <c r="B119" s="40" t="s">
        <v>213</v>
      </c>
      <c r="C119" s="40" t="s">
        <v>214</v>
      </c>
      <c r="D119" s="40" t="s">
        <v>215</v>
      </c>
      <c r="E119" s="39" t="s">
        <v>216</v>
      </c>
      <c r="F119" s="132"/>
      <c r="G119" s="132"/>
    </row>
    <row r="120" spans="1:7" ht="17.25" customHeight="1">
      <c r="A120" s="331" t="s">
        <v>223</v>
      </c>
      <c r="B120" s="332"/>
      <c r="C120" s="333"/>
      <c r="D120" s="40"/>
      <c r="E120" s="39"/>
      <c r="F120" s="132"/>
      <c r="G120" s="132"/>
    </row>
    <row r="121" spans="1:7" ht="17.25" customHeight="1">
      <c r="A121" s="45">
        <v>724</v>
      </c>
      <c r="B121" s="105">
        <v>1</v>
      </c>
      <c r="C121" s="105" t="s">
        <v>224</v>
      </c>
      <c r="D121" s="105" t="s">
        <v>299</v>
      </c>
      <c r="E121" s="105">
        <v>50</v>
      </c>
      <c r="F121" s="132"/>
      <c r="G121" s="132"/>
    </row>
    <row r="122" spans="1:7" ht="17.25" customHeight="1">
      <c r="A122" s="45">
        <v>725</v>
      </c>
      <c r="B122" s="105">
        <v>6</v>
      </c>
      <c r="C122" s="105" t="s">
        <v>225</v>
      </c>
      <c r="D122" s="105" t="s">
        <v>300</v>
      </c>
      <c r="E122" s="105">
        <v>446</v>
      </c>
      <c r="F122" s="132"/>
      <c r="G122" s="132"/>
    </row>
    <row r="123" spans="1:7" ht="17.25" customHeight="1">
      <c r="A123" s="45">
        <v>726</v>
      </c>
      <c r="B123" s="105">
        <v>21</v>
      </c>
      <c r="C123" s="105" t="s">
        <v>228</v>
      </c>
      <c r="D123" s="134" t="s">
        <v>305</v>
      </c>
      <c r="E123" s="105">
        <v>2233</v>
      </c>
      <c r="F123" s="132"/>
      <c r="G123" s="132"/>
    </row>
    <row r="124" spans="1:7" ht="17.25" customHeight="1">
      <c r="A124" s="199"/>
      <c r="B124" s="199">
        <f>SUM(B121:B123)</f>
        <v>28</v>
      </c>
      <c r="C124" s="199"/>
      <c r="D124" s="199"/>
      <c r="E124" s="199">
        <f>SUM(E121:E123)</f>
        <v>2729</v>
      </c>
      <c r="F124" s="132"/>
      <c r="G124" s="132"/>
    </row>
    <row r="125" spans="1:7" ht="17.25" customHeight="1">
      <c r="A125" s="331" t="s">
        <v>217</v>
      </c>
      <c r="B125" s="332"/>
      <c r="C125" s="333"/>
      <c r="D125" s="199"/>
      <c r="E125" s="202"/>
      <c r="F125" s="132"/>
      <c r="G125" s="132"/>
    </row>
    <row r="126" spans="1:7" ht="17.25" customHeight="1">
      <c r="A126" s="45">
        <v>730</v>
      </c>
      <c r="B126" s="105">
        <v>1</v>
      </c>
      <c r="C126" s="109" t="s">
        <v>244</v>
      </c>
      <c r="D126" s="105" t="s">
        <v>301</v>
      </c>
      <c r="E126" s="105">
        <v>265</v>
      </c>
      <c r="F126" s="132"/>
      <c r="G126" s="132"/>
    </row>
    <row r="127" spans="1:7" ht="17.25" customHeight="1">
      <c r="A127" s="45">
        <v>727</v>
      </c>
      <c r="B127" s="105">
        <v>10</v>
      </c>
      <c r="C127" s="105" t="s">
        <v>225</v>
      </c>
      <c r="D127" s="105" t="s">
        <v>302</v>
      </c>
      <c r="E127" s="105">
        <v>750</v>
      </c>
      <c r="F127" s="132"/>
      <c r="G127" s="132"/>
    </row>
    <row r="128" spans="1:7" ht="17.25" customHeight="1">
      <c r="A128" s="45">
        <v>728</v>
      </c>
      <c r="B128" s="105">
        <v>5</v>
      </c>
      <c r="C128" s="105" t="s">
        <v>228</v>
      </c>
      <c r="D128" s="105" t="s">
        <v>303</v>
      </c>
      <c r="E128" s="105">
        <v>403</v>
      </c>
      <c r="F128" s="132"/>
      <c r="G128" s="132"/>
    </row>
    <row r="129" spans="1:7" ht="17.25" customHeight="1">
      <c r="A129" s="45">
        <v>729</v>
      </c>
      <c r="B129" s="105">
        <v>2</v>
      </c>
      <c r="C129" s="109" t="s">
        <v>232</v>
      </c>
      <c r="D129" s="105" t="s">
        <v>304</v>
      </c>
      <c r="E129" s="105">
        <v>207</v>
      </c>
      <c r="F129" s="132"/>
      <c r="G129" s="132"/>
    </row>
    <row r="130" spans="1:7" ht="17.25" customHeight="1">
      <c r="A130" s="40"/>
      <c r="B130" s="199">
        <f>SUM(B126:B129)</f>
        <v>18</v>
      </c>
      <c r="C130" s="199"/>
      <c r="D130" s="199"/>
      <c r="E130" s="199">
        <f>SUM(E126:E129)</f>
        <v>1625</v>
      </c>
      <c r="F130" s="132"/>
      <c r="G130" s="132"/>
    </row>
    <row r="131" spans="1:7" ht="17.25" customHeight="1">
      <c r="A131" s="199" t="s">
        <v>14</v>
      </c>
      <c r="B131" s="126">
        <f>B124+B130</f>
        <v>46</v>
      </c>
      <c r="C131" s="126"/>
      <c r="D131" s="126"/>
      <c r="E131" s="126">
        <f>E124+E130</f>
        <v>4354</v>
      </c>
      <c r="F131" s="132"/>
      <c r="G131" s="132"/>
    </row>
    <row r="132" spans="1:7" ht="17.25" customHeight="1">
      <c r="A132" s="202"/>
      <c r="B132" s="127"/>
      <c r="C132" s="128"/>
      <c r="D132" s="126"/>
      <c r="E132" s="126"/>
      <c r="F132" s="132"/>
      <c r="G132" s="132"/>
    </row>
    <row r="133" spans="1:7" ht="27.75" customHeight="1">
      <c r="A133" s="325" t="s">
        <v>393</v>
      </c>
      <c r="B133" s="334"/>
      <c r="C133" s="334"/>
      <c r="D133" s="334"/>
      <c r="E133" s="334"/>
      <c r="F133" s="132"/>
      <c r="G133" s="132"/>
    </row>
    <row r="134" spans="1:7" ht="21.75" customHeight="1">
      <c r="A134" s="40" t="s">
        <v>212</v>
      </c>
      <c r="B134" s="40" t="s">
        <v>213</v>
      </c>
      <c r="C134" s="40" t="s">
        <v>214</v>
      </c>
      <c r="D134" s="40" t="s">
        <v>215</v>
      </c>
      <c r="E134" s="39" t="s">
        <v>216</v>
      </c>
      <c r="F134" s="132"/>
      <c r="G134" s="132"/>
    </row>
    <row r="135" spans="1:7" ht="17.25" customHeight="1">
      <c r="A135" s="331" t="s">
        <v>223</v>
      </c>
      <c r="B135" s="332"/>
      <c r="C135" s="333"/>
      <c r="D135" s="40"/>
      <c r="E135" s="39"/>
      <c r="F135" s="132"/>
      <c r="G135" s="132"/>
    </row>
    <row r="136" spans="1:7" ht="17.25" customHeight="1">
      <c r="A136" s="45">
        <v>431</v>
      </c>
      <c r="B136" s="45">
        <v>6</v>
      </c>
      <c r="C136" s="45" t="s">
        <v>228</v>
      </c>
      <c r="D136" s="45" t="s">
        <v>306</v>
      </c>
      <c r="E136" s="45">
        <v>696</v>
      </c>
      <c r="F136" s="132"/>
      <c r="G136" s="132"/>
    </row>
    <row r="137" spans="1:7" ht="17.25" customHeight="1">
      <c r="A137" s="45">
        <v>431</v>
      </c>
      <c r="B137" s="45">
        <v>2</v>
      </c>
      <c r="C137" s="45" t="s">
        <v>225</v>
      </c>
      <c r="D137" s="45" t="s">
        <v>307</v>
      </c>
      <c r="E137" s="45">
        <v>174</v>
      </c>
      <c r="F137" s="132"/>
      <c r="G137" s="132"/>
    </row>
    <row r="138" spans="1:7" ht="17.25" customHeight="1">
      <c r="A138" s="199"/>
      <c r="B138" s="199">
        <f>SUM(B136:B137)</f>
        <v>8</v>
      </c>
      <c r="C138" s="199"/>
      <c r="D138" s="199"/>
      <c r="E138" s="199">
        <f>SUM(E136:E137)</f>
        <v>870</v>
      </c>
      <c r="F138" s="132"/>
      <c r="G138" s="132"/>
    </row>
    <row r="139" spans="1:7" ht="17.25" customHeight="1">
      <c r="A139" s="331" t="s">
        <v>217</v>
      </c>
      <c r="B139" s="332"/>
      <c r="C139" s="333"/>
      <c r="D139" s="199"/>
      <c r="E139" s="202"/>
      <c r="F139" s="132"/>
      <c r="G139" s="132"/>
    </row>
    <row r="140" spans="1:7" ht="17.25" customHeight="1">
      <c r="A140" s="45">
        <v>433</v>
      </c>
      <c r="B140" s="45">
        <v>2</v>
      </c>
      <c r="C140" s="109" t="s">
        <v>232</v>
      </c>
      <c r="D140" s="45" t="s">
        <v>308</v>
      </c>
      <c r="E140" s="45">
        <v>250</v>
      </c>
      <c r="F140" s="132"/>
      <c r="G140" s="132"/>
    </row>
    <row r="141" spans="1:7" ht="17.25" customHeight="1">
      <c r="A141" s="45">
        <v>432</v>
      </c>
      <c r="B141" s="45">
        <v>1</v>
      </c>
      <c r="C141" s="45" t="s">
        <v>228</v>
      </c>
      <c r="D141" s="45" t="s">
        <v>239</v>
      </c>
      <c r="E141" s="45">
        <v>90</v>
      </c>
      <c r="F141" s="132"/>
      <c r="G141" s="132"/>
    </row>
    <row r="142" spans="1:7" ht="17.25" customHeight="1">
      <c r="A142" s="45">
        <v>432</v>
      </c>
      <c r="B142" s="45">
        <v>1</v>
      </c>
      <c r="C142" s="109" t="s">
        <v>232</v>
      </c>
      <c r="D142" s="45" t="s">
        <v>239</v>
      </c>
      <c r="E142" s="45">
        <v>125</v>
      </c>
      <c r="F142" s="132"/>
      <c r="G142" s="132"/>
    </row>
    <row r="143" spans="1:7" ht="17.25" customHeight="1">
      <c r="A143" s="40"/>
      <c r="B143" s="199">
        <f>SUM(B140:B142)</f>
        <v>4</v>
      </c>
      <c r="C143" s="199"/>
      <c r="D143" s="199"/>
      <c r="E143" s="199">
        <f>SUM(E140:E142)</f>
        <v>465</v>
      </c>
      <c r="F143" s="132"/>
      <c r="G143" s="132"/>
    </row>
    <row r="144" spans="1:7" ht="17.25" customHeight="1">
      <c r="A144" s="199" t="s">
        <v>14</v>
      </c>
      <c r="B144" s="126">
        <f>B138+B143</f>
        <v>12</v>
      </c>
      <c r="C144" s="126"/>
      <c r="D144" s="126"/>
      <c r="E144" s="126">
        <f>E138+E143</f>
        <v>1335</v>
      </c>
      <c r="F144" s="132"/>
      <c r="G144" s="132"/>
    </row>
    <row r="145" spans="1:7" ht="17.25" customHeight="1">
      <c r="A145" s="202"/>
      <c r="B145" s="127"/>
      <c r="C145" s="128"/>
      <c r="D145" s="126"/>
      <c r="E145" s="126"/>
      <c r="F145" s="132"/>
      <c r="G145" s="132"/>
    </row>
    <row r="146" spans="1:7" ht="27" customHeight="1">
      <c r="A146" s="325" t="s">
        <v>394</v>
      </c>
      <c r="B146" s="334"/>
      <c r="C146" s="334"/>
      <c r="D146" s="334"/>
      <c r="E146" s="334"/>
      <c r="F146" s="132"/>
      <c r="G146" s="132"/>
    </row>
    <row r="147" spans="1:7" ht="23.25" customHeight="1">
      <c r="A147" s="40" t="s">
        <v>212</v>
      </c>
      <c r="B147" s="40" t="s">
        <v>213</v>
      </c>
      <c r="C147" s="40" t="s">
        <v>214</v>
      </c>
      <c r="D147" s="40" t="s">
        <v>215</v>
      </c>
      <c r="E147" s="39" t="s">
        <v>216</v>
      </c>
      <c r="F147" s="132"/>
      <c r="G147" s="132"/>
    </row>
    <row r="148" spans="1:7" ht="17.25" customHeight="1">
      <c r="A148" s="331" t="s">
        <v>217</v>
      </c>
      <c r="B148" s="332"/>
      <c r="C148" s="333"/>
      <c r="D148" s="199"/>
      <c r="E148" s="202"/>
      <c r="F148" s="132"/>
      <c r="G148" s="132"/>
    </row>
    <row r="149" spans="1:7" ht="17.25" customHeight="1">
      <c r="A149" s="112">
        <v>109</v>
      </c>
      <c r="B149" s="113">
        <v>25</v>
      </c>
      <c r="C149" s="113" t="s">
        <v>218</v>
      </c>
      <c r="D149" s="40" t="s">
        <v>309</v>
      </c>
      <c r="E149" s="139">
        <v>1149</v>
      </c>
      <c r="F149" s="132"/>
      <c r="G149" s="132"/>
    </row>
    <row r="150" spans="1:7" ht="17.25" customHeight="1">
      <c r="A150" s="113">
        <v>110</v>
      </c>
      <c r="B150" s="113">
        <v>29</v>
      </c>
      <c r="C150" s="113" t="s">
        <v>218</v>
      </c>
      <c r="D150" s="40" t="s">
        <v>310</v>
      </c>
      <c r="E150" s="139">
        <v>1347</v>
      </c>
      <c r="F150" s="132"/>
      <c r="G150" s="132"/>
    </row>
    <row r="151" spans="1:7" ht="17.25" customHeight="1">
      <c r="A151" s="40"/>
      <c r="B151" s="199">
        <f>SUM(B149:B150)</f>
        <v>54</v>
      </c>
      <c r="C151" s="199"/>
      <c r="D151" s="199"/>
      <c r="E151" s="202">
        <f>SUM(E149:E150)</f>
        <v>2496</v>
      </c>
      <c r="F151" s="132"/>
      <c r="G151" s="132"/>
    </row>
    <row r="152" spans="1:7" ht="17.25" customHeight="1">
      <c r="A152" s="199" t="s">
        <v>14</v>
      </c>
      <c r="B152" s="126">
        <f>B151</f>
        <v>54</v>
      </c>
      <c r="C152" s="126"/>
      <c r="D152" s="126"/>
      <c r="E152" s="126">
        <f>E151</f>
        <v>2496</v>
      </c>
      <c r="F152" s="132"/>
      <c r="G152" s="132"/>
    </row>
    <row r="153" spans="1:7" ht="17.25" customHeight="1">
      <c r="A153" s="202"/>
      <c r="B153" s="127"/>
      <c r="C153" s="128"/>
      <c r="D153" s="126"/>
      <c r="E153" s="126"/>
      <c r="F153" s="132"/>
      <c r="G153" s="132"/>
    </row>
    <row r="154" spans="1:7" ht="27.75" customHeight="1">
      <c r="A154" s="325" t="s">
        <v>395</v>
      </c>
      <c r="B154" s="334"/>
      <c r="C154" s="334"/>
      <c r="D154" s="334"/>
      <c r="E154" s="334"/>
      <c r="F154" s="132"/>
      <c r="G154" s="132"/>
    </row>
    <row r="155" spans="1:7" ht="24.75" customHeight="1">
      <c r="A155" s="40" t="s">
        <v>212</v>
      </c>
      <c r="B155" s="40" t="s">
        <v>213</v>
      </c>
      <c r="C155" s="40" t="s">
        <v>214</v>
      </c>
      <c r="D155" s="40" t="s">
        <v>215</v>
      </c>
      <c r="E155" s="39" t="s">
        <v>216</v>
      </c>
      <c r="F155" s="132"/>
      <c r="G155" s="132"/>
    </row>
    <row r="156" spans="1:7" ht="17.25" customHeight="1">
      <c r="A156" s="331" t="s">
        <v>223</v>
      </c>
      <c r="B156" s="332"/>
      <c r="C156" s="333"/>
      <c r="D156" s="40"/>
      <c r="E156" s="39"/>
      <c r="F156" s="132"/>
      <c r="G156" s="132"/>
    </row>
    <row r="157" spans="1:7" ht="17.25" customHeight="1">
      <c r="A157" s="91">
        <v>1288</v>
      </c>
      <c r="B157" s="91">
        <v>2</v>
      </c>
      <c r="C157" s="91" t="s">
        <v>224</v>
      </c>
      <c r="D157" s="70" t="s">
        <v>311</v>
      </c>
      <c r="E157" s="91">
        <v>110</v>
      </c>
      <c r="F157" s="132"/>
      <c r="G157" s="132"/>
    </row>
    <row r="158" spans="1:7" ht="17.25" customHeight="1">
      <c r="A158" s="70">
        <v>1289</v>
      </c>
      <c r="B158" s="91">
        <v>8</v>
      </c>
      <c r="C158" s="91" t="s">
        <v>218</v>
      </c>
      <c r="D158" s="70" t="s">
        <v>312</v>
      </c>
      <c r="E158" s="70">
        <v>624</v>
      </c>
      <c r="F158" s="132"/>
      <c r="G158" s="132"/>
    </row>
    <row r="159" spans="1:7" ht="17.25" customHeight="1">
      <c r="A159" s="70">
        <v>1290</v>
      </c>
      <c r="B159" s="40">
        <v>4</v>
      </c>
      <c r="C159" s="40" t="s">
        <v>228</v>
      </c>
      <c r="D159" s="40" t="s">
        <v>313</v>
      </c>
      <c r="E159" s="40">
        <v>440</v>
      </c>
      <c r="F159" s="132"/>
      <c r="G159" s="132"/>
    </row>
    <row r="160" spans="1:7" ht="17.25" customHeight="1">
      <c r="A160" s="199"/>
      <c r="B160" s="199">
        <f>SUM(B157:B159)</f>
        <v>14</v>
      </c>
      <c r="C160" s="199"/>
      <c r="D160" s="199"/>
      <c r="E160" s="199">
        <f>SUM(E157:E159)</f>
        <v>1174</v>
      </c>
      <c r="F160" s="132"/>
      <c r="G160" s="132"/>
    </row>
    <row r="161" spans="1:7" ht="17.25" customHeight="1">
      <c r="A161" s="331" t="s">
        <v>217</v>
      </c>
      <c r="B161" s="332"/>
      <c r="C161" s="333"/>
      <c r="D161" s="199"/>
      <c r="E161" s="202"/>
      <c r="F161" s="132"/>
      <c r="G161" s="132"/>
    </row>
    <row r="162" spans="1:7" ht="17.25" customHeight="1">
      <c r="A162" s="138">
        <v>1292</v>
      </c>
      <c r="B162" s="60">
        <v>3</v>
      </c>
      <c r="C162" s="200" t="s">
        <v>241</v>
      </c>
      <c r="D162" s="40" t="s">
        <v>314</v>
      </c>
      <c r="E162" s="60">
        <v>636</v>
      </c>
      <c r="F162" s="132"/>
      <c r="G162" s="132"/>
    </row>
    <row r="163" spans="1:7" ht="17.25" customHeight="1">
      <c r="A163" s="137">
        <v>1293</v>
      </c>
      <c r="B163" s="91">
        <v>3</v>
      </c>
      <c r="C163" s="200" t="s">
        <v>244</v>
      </c>
      <c r="D163" s="40" t="s">
        <v>315</v>
      </c>
      <c r="E163" s="70">
        <v>830</v>
      </c>
      <c r="F163" s="132"/>
      <c r="G163" s="132"/>
    </row>
    <row r="164" spans="1:7" ht="17.25" customHeight="1">
      <c r="A164" s="138">
        <v>1291</v>
      </c>
      <c r="B164" s="60">
        <v>25</v>
      </c>
      <c r="C164" s="40" t="s">
        <v>218</v>
      </c>
      <c r="D164" s="40" t="s">
        <v>309</v>
      </c>
      <c r="E164" s="60">
        <v>1426</v>
      </c>
      <c r="F164" s="132"/>
      <c r="G164" s="132"/>
    </row>
    <row r="165" spans="1:7" ht="17.25" customHeight="1">
      <c r="A165" s="40"/>
      <c r="B165" s="199">
        <f>SUM(B162:B164)</f>
        <v>31</v>
      </c>
      <c r="C165" s="199"/>
      <c r="D165" s="199"/>
      <c r="E165" s="202">
        <f>SUM(E162:E164)</f>
        <v>2892</v>
      </c>
      <c r="F165" s="132"/>
      <c r="G165" s="132"/>
    </row>
    <row r="166" spans="1:7" ht="17.25" customHeight="1">
      <c r="A166" s="199" t="s">
        <v>14</v>
      </c>
      <c r="B166" s="126">
        <f>B160+B165</f>
        <v>45</v>
      </c>
      <c r="C166" s="126"/>
      <c r="D166" s="126"/>
      <c r="E166" s="126">
        <f>E160+E165</f>
        <v>4066</v>
      </c>
      <c r="F166" s="132"/>
      <c r="G166" s="132"/>
    </row>
    <row r="167" spans="1:7" ht="17.25" customHeight="1">
      <c r="A167" s="202"/>
      <c r="B167" s="127"/>
      <c r="C167" s="128"/>
      <c r="D167" s="126"/>
      <c r="E167" s="126"/>
      <c r="F167" s="132"/>
      <c r="G167" s="132"/>
    </row>
    <row r="168" spans="1:7" ht="27" customHeight="1">
      <c r="A168" s="325" t="s">
        <v>396</v>
      </c>
      <c r="B168" s="334"/>
      <c r="C168" s="334"/>
      <c r="D168" s="334"/>
      <c r="E168" s="334"/>
      <c r="F168" s="132"/>
      <c r="G168" s="132"/>
    </row>
    <row r="169" spans="1:7" ht="27" customHeight="1">
      <c r="A169" s="40" t="s">
        <v>212</v>
      </c>
      <c r="B169" s="40" t="s">
        <v>213</v>
      </c>
      <c r="C169" s="40" t="s">
        <v>214</v>
      </c>
      <c r="D169" s="40" t="s">
        <v>215</v>
      </c>
      <c r="E169" s="39" t="s">
        <v>216</v>
      </c>
      <c r="F169" s="132"/>
      <c r="G169" s="132"/>
    </row>
    <row r="170" spans="1:7" ht="17.25" customHeight="1">
      <c r="A170" s="331" t="s">
        <v>223</v>
      </c>
      <c r="B170" s="332"/>
      <c r="C170" s="333"/>
      <c r="D170" s="40"/>
      <c r="E170" s="39"/>
      <c r="F170" s="132"/>
      <c r="G170" s="132"/>
    </row>
    <row r="171" spans="1:7" ht="17.25" customHeight="1">
      <c r="A171" s="40">
        <v>1123</v>
      </c>
      <c r="B171" s="60">
        <v>4</v>
      </c>
      <c r="C171" s="60" t="s">
        <v>228</v>
      </c>
      <c r="D171" s="40" t="s">
        <v>326</v>
      </c>
      <c r="E171" s="40">
        <v>448</v>
      </c>
      <c r="F171" s="132"/>
      <c r="G171" s="132"/>
    </row>
    <row r="172" spans="1:7" ht="17.25" customHeight="1">
      <c r="A172" s="40">
        <v>1124</v>
      </c>
      <c r="B172" s="60">
        <v>2</v>
      </c>
      <c r="C172" s="60" t="s">
        <v>225</v>
      </c>
      <c r="D172" s="40" t="s">
        <v>327</v>
      </c>
      <c r="E172" s="40">
        <v>166</v>
      </c>
      <c r="F172" s="132"/>
      <c r="G172" s="132"/>
    </row>
    <row r="173" spans="1:7" ht="17.25" customHeight="1">
      <c r="A173" s="40"/>
      <c r="B173" s="199">
        <f>SUM(B171:B172)</f>
        <v>6</v>
      </c>
      <c r="C173" s="199"/>
      <c r="D173" s="199"/>
      <c r="E173" s="199">
        <f>SUM(E171:E172)</f>
        <v>614</v>
      </c>
      <c r="F173" s="132"/>
      <c r="G173" s="132"/>
    </row>
    <row r="174" spans="1:7" ht="17.25" customHeight="1">
      <c r="A174" s="331" t="s">
        <v>217</v>
      </c>
      <c r="B174" s="332"/>
      <c r="C174" s="333"/>
      <c r="D174" s="40"/>
      <c r="E174" s="39"/>
      <c r="F174" s="132"/>
      <c r="G174" s="132"/>
    </row>
    <row r="175" spans="1:7" ht="17.25" customHeight="1">
      <c r="A175" s="70">
        <v>1120</v>
      </c>
      <c r="B175" s="91">
        <v>19</v>
      </c>
      <c r="C175" s="91" t="s">
        <v>228</v>
      </c>
      <c r="D175" s="40" t="s">
        <v>328</v>
      </c>
      <c r="E175" s="70">
        <v>1957</v>
      </c>
      <c r="F175" s="132"/>
      <c r="G175" s="132"/>
    </row>
    <row r="176" spans="1:7" ht="17.25" customHeight="1">
      <c r="A176" s="40">
        <v>1121</v>
      </c>
      <c r="B176" s="40">
        <v>20</v>
      </c>
      <c r="C176" s="91" t="s">
        <v>225</v>
      </c>
      <c r="D176" s="64" t="s">
        <v>329</v>
      </c>
      <c r="E176" s="40">
        <v>1860</v>
      </c>
      <c r="F176" s="132"/>
      <c r="G176" s="132"/>
    </row>
    <row r="177" spans="1:7" ht="17.25" customHeight="1">
      <c r="A177" s="40">
        <v>1122</v>
      </c>
      <c r="B177" s="40">
        <v>12</v>
      </c>
      <c r="C177" s="91" t="s">
        <v>225</v>
      </c>
      <c r="D177" s="64" t="s">
        <v>330</v>
      </c>
      <c r="E177" s="40">
        <v>1134</v>
      </c>
      <c r="F177" s="132"/>
      <c r="G177" s="132"/>
    </row>
    <row r="178" spans="1:7" ht="17.25" customHeight="1">
      <c r="A178" s="40"/>
      <c r="B178" s="199">
        <f>SUM(B175:B177)</f>
        <v>51</v>
      </c>
      <c r="C178" s="199"/>
      <c r="D178" s="199"/>
      <c r="E178" s="202">
        <f>SUM(E175:E177)</f>
        <v>4951</v>
      </c>
      <c r="F178" s="132"/>
      <c r="G178" s="132"/>
    </row>
    <row r="179" spans="1:7" ht="17.25" customHeight="1">
      <c r="A179" s="199" t="s">
        <v>14</v>
      </c>
      <c r="B179" s="126">
        <f>B173+B178</f>
        <v>57</v>
      </c>
      <c r="C179" s="126"/>
      <c r="D179" s="126"/>
      <c r="E179" s="126">
        <f>E173+E178</f>
        <v>5565</v>
      </c>
      <c r="F179" s="132"/>
      <c r="G179" s="132"/>
    </row>
    <row r="180" spans="1:7" ht="17.25" customHeight="1">
      <c r="A180" s="202"/>
      <c r="B180" s="127"/>
      <c r="C180" s="128"/>
      <c r="D180" s="126"/>
      <c r="E180" s="126"/>
      <c r="F180" s="132"/>
      <c r="G180" s="132"/>
    </row>
    <row r="181" spans="1:7" ht="30" customHeight="1">
      <c r="A181" s="325" t="s">
        <v>298</v>
      </c>
      <c r="B181" s="334"/>
      <c r="C181" s="334"/>
      <c r="D181" s="334"/>
      <c r="E181" s="334"/>
      <c r="F181" s="132"/>
      <c r="G181" s="132"/>
    </row>
    <row r="182" spans="1:7" ht="26.25" customHeight="1">
      <c r="A182" s="40" t="s">
        <v>212</v>
      </c>
      <c r="B182" s="40" t="s">
        <v>213</v>
      </c>
      <c r="C182" s="40" t="s">
        <v>214</v>
      </c>
      <c r="D182" s="40" t="s">
        <v>215</v>
      </c>
      <c r="E182" s="39" t="s">
        <v>216</v>
      </c>
      <c r="F182" s="132"/>
      <c r="G182" s="132"/>
    </row>
    <row r="183" spans="1:7" ht="17.25" customHeight="1">
      <c r="A183" s="331" t="s">
        <v>223</v>
      </c>
      <c r="B183" s="332"/>
      <c r="C183" s="333"/>
      <c r="D183" s="40"/>
      <c r="E183" s="39"/>
      <c r="F183" s="132"/>
      <c r="G183" s="132"/>
    </row>
    <row r="184" spans="1:7" ht="28.5" customHeight="1">
      <c r="A184" s="225" t="s">
        <v>333</v>
      </c>
      <c r="B184" s="225">
        <v>20</v>
      </c>
      <c r="C184" s="225" t="s">
        <v>224</v>
      </c>
      <c r="D184" s="23" t="s">
        <v>334</v>
      </c>
      <c r="E184" s="225">
        <v>1167.1</v>
      </c>
      <c r="F184" s="132"/>
      <c r="G184" s="132"/>
    </row>
    <row r="185" spans="1:7" ht="26.25" customHeight="1">
      <c r="A185" s="225" t="s">
        <v>335</v>
      </c>
      <c r="B185" s="225">
        <v>18</v>
      </c>
      <c r="C185" s="225" t="s">
        <v>218</v>
      </c>
      <c r="D185" s="23" t="s">
        <v>336</v>
      </c>
      <c r="E185" s="225">
        <v>1439.55</v>
      </c>
      <c r="F185" s="132"/>
      <c r="G185" s="132"/>
    </row>
    <row r="186" spans="1:7" ht="24" customHeight="1">
      <c r="A186" s="225" t="s">
        <v>337</v>
      </c>
      <c r="B186" s="225">
        <v>7</v>
      </c>
      <c r="C186" s="225" t="s">
        <v>228</v>
      </c>
      <c r="D186" s="23" t="s">
        <v>338</v>
      </c>
      <c r="E186" s="225">
        <v>735</v>
      </c>
      <c r="F186" s="132"/>
      <c r="G186" s="132"/>
    </row>
    <row r="187" spans="1:7" ht="24" customHeight="1">
      <c r="A187" s="225" t="s">
        <v>339</v>
      </c>
      <c r="B187" s="225">
        <v>10</v>
      </c>
      <c r="C187" s="225" t="s">
        <v>224</v>
      </c>
      <c r="D187" s="23" t="s">
        <v>340</v>
      </c>
      <c r="E187" s="225">
        <v>579.7</v>
      </c>
      <c r="F187" s="132"/>
      <c r="G187" s="132"/>
    </row>
    <row r="188" spans="1:7" ht="17.25" customHeight="1">
      <c r="A188" s="40"/>
      <c r="B188" s="199">
        <f>SUM(B184:B187)</f>
        <v>55</v>
      </c>
      <c r="C188" s="199"/>
      <c r="D188" s="199"/>
      <c r="E188" s="199">
        <f>SUM(E184:E187)</f>
        <v>3921.3499999999995</v>
      </c>
      <c r="F188" s="132"/>
      <c r="G188" s="132"/>
    </row>
    <row r="189" spans="1:7" ht="17.25" customHeight="1">
      <c r="A189" s="331" t="s">
        <v>217</v>
      </c>
      <c r="B189" s="332"/>
      <c r="C189" s="333"/>
      <c r="D189" s="40"/>
      <c r="E189" s="39"/>
      <c r="F189" s="132"/>
      <c r="G189" s="132"/>
    </row>
    <row r="190" spans="1:8" ht="17.25" customHeight="1">
      <c r="A190" s="60" t="s">
        <v>341</v>
      </c>
      <c r="B190" s="60">
        <v>18</v>
      </c>
      <c r="C190" s="40" t="s">
        <v>224</v>
      </c>
      <c r="D190" s="40" t="s">
        <v>342</v>
      </c>
      <c r="E190" s="60">
        <v>1075</v>
      </c>
      <c r="F190" s="132"/>
      <c r="G190" s="132"/>
      <c r="H190" s="99">
        <f>B190+B197</f>
        <v>26</v>
      </c>
    </row>
    <row r="191" spans="1:8" ht="17.25" customHeight="1">
      <c r="A191" s="60" t="s">
        <v>343</v>
      </c>
      <c r="B191" s="60">
        <v>8</v>
      </c>
      <c r="C191" s="200" t="s">
        <v>344</v>
      </c>
      <c r="D191" s="40" t="s">
        <v>345</v>
      </c>
      <c r="E191" s="40">
        <v>1046.4</v>
      </c>
      <c r="F191" s="132"/>
      <c r="G191" s="132"/>
      <c r="H191" s="99">
        <f>B194+B196</f>
        <v>26</v>
      </c>
    </row>
    <row r="192" spans="1:8" ht="17.25" customHeight="1">
      <c r="A192" s="60" t="s">
        <v>346</v>
      </c>
      <c r="B192" s="60">
        <v>3</v>
      </c>
      <c r="C192" s="200" t="s">
        <v>244</v>
      </c>
      <c r="D192" s="40" t="s">
        <v>347</v>
      </c>
      <c r="E192" s="60">
        <v>790</v>
      </c>
      <c r="F192" s="132"/>
      <c r="G192" s="132"/>
      <c r="H192" s="99">
        <f>B195</f>
        <v>1</v>
      </c>
    </row>
    <row r="193" spans="1:7" ht="17.25" customHeight="1">
      <c r="A193" s="60" t="s">
        <v>348</v>
      </c>
      <c r="B193" s="60">
        <v>2</v>
      </c>
      <c r="C193" s="200" t="s">
        <v>232</v>
      </c>
      <c r="D193" s="40" t="s">
        <v>349</v>
      </c>
      <c r="E193" s="60">
        <v>185</v>
      </c>
      <c r="F193" s="132"/>
      <c r="G193" s="132"/>
    </row>
    <row r="194" spans="1:7" ht="17.25" customHeight="1">
      <c r="A194" s="60" t="s">
        <v>350</v>
      </c>
      <c r="B194" s="60">
        <v>20</v>
      </c>
      <c r="C194" s="40" t="s">
        <v>218</v>
      </c>
      <c r="D194" s="40" t="s">
        <v>351</v>
      </c>
      <c r="E194" s="60">
        <v>1218</v>
      </c>
      <c r="F194" s="132"/>
      <c r="G194" s="132"/>
    </row>
    <row r="195" spans="1:7" ht="17.25" customHeight="1">
      <c r="A195" s="60" t="s">
        <v>352</v>
      </c>
      <c r="B195" s="60">
        <v>1</v>
      </c>
      <c r="C195" s="40" t="s">
        <v>237</v>
      </c>
      <c r="D195" s="40" t="s">
        <v>353</v>
      </c>
      <c r="E195" s="60">
        <v>75</v>
      </c>
      <c r="F195" s="132"/>
      <c r="G195" s="132"/>
    </row>
    <row r="196" spans="1:7" ht="17.25" customHeight="1">
      <c r="A196" s="60" t="s">
        <v>354</v>
      </c>
      <c r="B196" s="60">
        <v>6</v>
      </c>
      <c r="C196" s="40" t="s">
        <v>359</v>
      </c>
      <c r="D196" s="40" t="s">
        <v>355</v>
      </c>
      <c r="E196" s="60">
        <v>366</v>
      </c>
      <c r="F196" s="132"/>
      <c r="G196" s="132"/>
    </row>
    <row r="197" spans="1:7" ht="17.25" customHeight="1">
      <c r="A197" s="60" t="s">
        <v>356</v>
      </c>
      <c r="B197" s="60">
        <v>8</v>
      </c>
      <c r="C197" s="40" t="s">
        <v>357</v>
      </c>
      <c r="D197" s="40" t="s">
        <v>358</v>
      </c>
      <c r="E197" s="60">
        <v>345</v>
      </c>
      <c r="F197" s="132"/>
      <c r="G197" s="132"/>
    </row>
    <row r="198" spans="1:7" ht="17.25" customHeight="1">
      <c r="A198" s="40"/>
      <c r="B198" s="199">
        <f>SUM(B190:B197)</f>
        <v>66</v>
      </c>
      <c r="C198" s="199"/>
      <c r="D198" s="199"/>
      <c r="E198" s="202">
        <f>SUM(E190:E197)</f>
        <v>5100.4</v>
      </c>
      <c r="F198" s="132"/>
      <c r="G198" s="132"/>
    </row>
    <row r="199" spans="1:7" ht="17.25" customHeight="1">
      <c r="A199" s="199" t="s">
        <v>14</v>
      </c>
      <c r="B199" s="126">
        <f>B188+B198</f>
        <v>121</v>
      </c>
      <c r="C199" s="126"/>
      <c r="D199" s="126"/>
      <c r="E199" s="126">
        <f>E188+E198</f>
        <v>9021.75</v>
      </c>
      <c r="F199" s="132"/>
      <c r="G199" s="132"/>
    </row>
    <row r="200" spans="1:7" ht="17.25" customHeight="1">
      <c r="A200" s="202"/>
      <c r="B200" s="127"/>
      <c r="C200" s="128"/>
      <c r="D200" s="126"/>
      <c r="E200" s="126"/>
      <c r="F200" s="132"/>
      <c r="G200" s="132"/>
    </row>
    <row r="201" spans="1:7" ht="28.5" customHeight="1">
      <c r="A201" s="325" t="s">
        <v>397</v>
      </c>
      <c r="B201" s="334"/>
      <c r="C201" s="334"/>
      <c r="D201" s="334"/>
      <c r="E201" s="334"/>
      <c r="F201" s="132"/>
      <c r="G201" s="132"/>
    </row>
    <row r="202" spans="1:7" ht="24.75" customHeight="1">
      <c r="A202" s="40" t="s">
        <v>212</v>
      </c>
      <c r="B202" s="40" t="s">
        <v>213</v>
      </c>
      <c r="C202" s="40" t="s">
        <v>214</v>
      </c>
      <c r="D202" s="40" t="s">
        <v>215</v>
      </c>
      <c r="E202" s="39" t="s">
        <v>216</v>
      </c>
      <c r="F202" s="132"/>
      <c r="G202" s="132"/>
    </row>
    <row r="203" spans="1:7" ht="17.25" customHeight="1">
      <c r="A203" s="331" t="s">
        <v>223</v>
      </c>
      <c r="B203" s="332"/>
      <c r="C203" s="333"/>
      <c r="D203" s="40"/>
      <c r="E203" s="39"/>
      <c r="F203" s="132"/>
      <c r="G203" s="132"/>
    </row>
    <row r="204" spans="1:7" ht="17.25" customHeight="1">
      <c r="A204" s="70">
        <v>760</v>
      </c>
      <c r="B204" s="40">
        <v>1</v>
      </c>
      <c r="C204" s="40" t="s">
        <v>225</v>
      </c>
      <c r="D204" s="40" t="s">
        <v>360</v>
      </c>
      <c r="E204" s="40">
        <v>70</v>
      </c>
      <c r="F204" s="132"/>
      <c r="G204" s="132"/>
    </row>
    <row r="205" spans="1:7" ht="17.25" customHeight="1">
      <c r="A205" s="40">
        <v>761</v>
      </c>
      <c r="B205" s="40">
        <v>5</v>
      </c>
      <c r="C205" s="40" t="s">
        <v>228</v>
      </c>
      <c r="D205" s="40" t="s">
        <v>361</v>
      </c>
      <c r="E205" s="40">
        <v>519</v>
      </c>
      <c r="F205" s="132"/>
      <c r="G205" s="132"/>
    </row>
    <row r="206" spans="1:7" ht="17.25" customHeight="1">
      <c r="A206" s="40"/>
      <c r="B206" s="199">
        <f>SUM(B204:B205)</f>
        <v>6</v>
      </c>
      <c r="C206" s="199"/>
      <c r="D206" s="199"/>
      <c r="E206" s="199">
        <f>SUM(E204:E205)</f>
        <v>589</v>
      </c>
      <c r="F206" s="132"/>
      <c r="G206" s="132"/>
    </row>
    <row r="207" spans="1:7" ht="17.25" customHeight="1">
      <c r="A207" s="331" t="s">
        <v>217</v>
      </c>
      <c r="B207" s="332"/>
      <c r="C207" s="333"/>
      <c r="D207" s="40"/>
      <c r="E207" s="39"/>
      <c r="F207" s="132"/>
      <c r="G207" s="132"/>
    </row>
    <row r="208" spans="1:7" ht="27" customHeight="1">
      <c r="A208" s="40">
        <v>764</v>
      </c>
      <c r="B208" s="60">
        <v>20</v>
      </c>
      <c r="C208" s="133" t="s">
        <v>344</v>
      </c>
      <c r="D208" s="40" t="s">
        <v>363</v>
      </c>
      <c r="E208" s="40">
        <v>2158</v>
      </c>
      <c r="F208" s="132"/>
      <c r="G208" s="132"/>
    </row>
    <row r="209" spans="1:7" ht="17.25" customHeight="1">
      <c r="A209" s="45">
        <v>762</v>
      </c>
      <c r="B209" s="45">
        <v>8</v>
      </c>
      <c r="C209" s="45" t="s">
        <v>218</v>
      </c>
      <c r="D209" s="40" t="s">
        <v>358</v>
      </c>
      <c r="E209" s="45">
        <v>583</v>
      </c>
      <c r="F209" s="132"/>
      <c r="G209" s="132"/>
    </row>
    <row r="210" spans="1:7" ht="17.25" customHeight="1">
      <c r="A210" s="45">
        <v>763</v>
      </c>
      <c r="B210" s="45">
        <v>2</v>
      </c>
      <c r="C210" s="45" t="s">
        <v>237</v>
      </c>
      <c r="D210" s="40" t="s">
        <v>362</v>
      </c>
      <c r="E210" s="45">
        <v>162</v>
      </c>
      <c r="F210" s="132"/>
      <c r="G210" s="132"/>
    </row>
    <row r="211" spans="1:7" ht="17.25" customHeight="1">
      <c r="A211" s="40"/>
      <c r="B211" s="199">
        <f>SUM(B208:B210)</f>
        <v>30</v>
      </c>
      <c r="C211" s="199"/>
      <c r="D211" s="199"/>
      <c r="E211" s="202">
        <f>SUM(E208:E210)</f>
        <v>2903</v>
      </c>
      <c r="F211" s="132"/>
      <c r="G211" s="132"/>
    </row>
    <row r="212" spans="1:7" ht="17.25" customHeight="1">
      <c r="A212" s="199" t="s">
        <v>14</v>
      </c>
      <c r="B212" s="126">
        <f>B206+B211</f>
        <v>36</v>
      </c>
      <c r="C212" s="126"/>
      <c r="D212" s="126"/>
      <c r="E212" s="126">
        <f>E206+E211</f>
        <v>3492</v>
      </c>
      <c r="F212" s="132"/>
      <c r="G212" s="132"/>
    </row>
    <row r="213" spans="1:7" ht="17.25" customHeight="1">
      <c r="A213" s="202"/>
      <c r="B213" s="127"/>
      <c r="C213" s="128"/>
      <c r="D213" s="126"/>
      <c r="E213" s="126"/>
      <c r="F213" s="132"/>
      <c r="G213" s="132"/>
    </row>
    <row r="214" spans="1:7" ht="26.25" customHeight="1">
      <c r="A214" s="325" t="s">
        <v>398</v>
      </c>
      <c r="B214" s="334"/>
      <c r="C214" s="334"/>
      <c r="D214" s="334"/>
      <c r="E214" s="334"/>
      <c r="F214" s="132"/>
      <c r="G214" s="132"/>
    </row>
    <row r="215" spans="1:7" ht="26.25" customHeight="1">
      <c r="A215" s="40" t="s">
        <v>212</v>
      </c>
      <c r="B215" s="40" t="s">
        <v>213</v>
      </c>
      <c r="C215" s="40" t="s">
        <v>214</v>
      </c>
      <c r="D215" s="40" t="s">
        <v>215</v>
      </c>
      <c r="E215" s="39" t="s">
        <v>216</v>
      </c>
      <c r="F215" s="132"/>
      <c r="G215" s="132"/>
    </row>
    <row r="216" spans="1:7" ht="17.25" customHeight="1">
      <c r="A216" s="331" t="s">
        <v>223</v>
      </c>
      <c r="B216" s="332"/>
      <c r="C216" s="333"/>
      <c r="D216" s="40"/>
      <c r="E216" s="39"/>
      <c r="F216" s="132"/>
      <c r="G216" s="132"/>
    </row>
    <row r="217" spans="1:7" ht="17.25" customHeight="1">
      <c r="A217" s="60">
        <v>434</v>
      </c>
      <c r="B217" s="60">
        <v>5</v>
      </c>
      <c r="C217" s="60" t="s">
        <v>228</v>
      </c>
      <c r="D217" s="91" t="s">
        <v>364</v>
      </c>
      <c r="E217" s="60">
        <v>540</v>
      </c>
      <c r="F217" s="132"/>
      <c r="G217" s="132"/>
    </row>
    <row r="218" spans="1:7" ht="17.25" customHeight="1">
      <c r="A218" s="60">
        <v>434</v>
      </c>
      <c r="B218" s="60">
        <v>1</v>
      </c>
      <c r="C218" s="60" t="s">
        <v>225</v>
      </c>
      <c r="D218" s="45" t="s">
        <v>365</v>
      </c>
      <c r="E218" s="60">
        <v>85</v>
      </c>
      <c r="F218" s="132"/>
      <c r="G218" s="132"/>
    </row>
    <row r="219" spans="1:7" ht="17.25" customHeight="1">
      <c r="A219" s="40"/>
      <c r="B219" s="199">
        <f>SUM(B217:B218)</f>
        <v>6</v>
      </c>
      <c r="C219" s="199"/>
      <c r="D219" s="199"/>
      <c r="E219" s="199">
        <f>SUM(E217:E218)</f>
        <v>625</v>
      </c>
      <c r="F219" s="132"/>
      <c r="G219" s="132"/>
    </row>
    <row r="220" spans="1:7" ht="17.25" customHeight="1">
      <c r="A220" s="331" t="s">
        <v>217</v>
      </c>
      <c r="B220" s="332"/>
      <c r="C220" s="333"/>
      <c r="D220" s="40"/>
      <c r="E220" s="39"/>
      <c r="F220" s="132"/>
      <c r="G220" s="132"/>
    </row>
    <row r="221" spans="1:7" ht="17.25" customHeight="1">
      <c r="A221" s="40">
        <v>436</v>
      </c>
      <c r="B221" s="185">
        <v>1</v>
      </c>
      <c r="C221" s="200" t="s">
        <v>232</v>
      </c>
      <c r="D221" s="185" t="s">
        <v>366</v>
      </c>
      <c r="E221" s="185">
        <v>124</v>
      </c>
      <c r="F221" s="132"/>
      <c r="G221" s="132"/>
    </row>
    <row r="222" spans="1:7" ht="17.25" customHeight="1">
      <c r="A222" s="60">
        <v>435</v>
      </c>
      <c r="B222" s="208">
        <v>1</v>
      </c>
      <c r="C222" s="208" t="s">
        <v>225</v>
      </c>
      <c r="D222" s="106" t="s">
        <v>353</v>
      </c>
      <c r="E222" s="209">
        <v>60</v>
      </c>
      <c r="F222" s="132"/>
      <c r="G222" s="132"/>
    </row>
    <row r="223" spans="1:7" ht="17.25" customHeight="1">
      <c r="A223" s="40">
        <v>435</v>
      </c>
      <c r="B223" s="185">
        <v>5</v>
      </c>
      <c r="C223" s="185" t="s">
        <v>228</v>
      </c>
      <c r="D223" s="106" t="s">
        <v>368</v>
      </c>
      <c r="E223" s="185">
        <v>450</v>
      </c>
      <c r="F223" s="132"/>
      <c r="G223" s="132"/>
    </row>
    <row r="224" spans="1:7" ht="17.25" customHeight="1">
      <c r="A224" s="40">
        <v>435</v>
      </c>
      <c r="B224" s="185">
        <v>2</v>
      </c>
      <c r="C224" s="200" t="s">
        <v>232</v>
      </c>
      <c r="D224" s="185" t="s">
        <v>367</v>
      </c>
      <c r="E224" s="185">
        <v>225</v>
      </c>
      <c r="F224" s="132"/>
      <c r="G224" s="132"/>
    </row>
    <row r="225" spans="1:7" ht="17.25" customHeight="1">
      <c r="A225" s="40"/>
      <c r="B225" s="199">
        <f>SUM(B221:B224)</f>
        <v>9</v>
      </c>
      <c r="C225" s="199"/>
      <c r="D225" s="199"/>
      <c r="E225" s="202">
        <f>SUM(E221:E224)</f>
        <v>859</v>
      </c>
      <c r="F225" s="132"/>
      <c r="G225" s="132"/>
    </row>
    <row r="226" spans="1:7" ht="17.25" customHeight="1">
      <c r="A226" s="199" t="s">
        <v>14</v>
      </c>
      <c r="B226" s="126">
        <f>B219+B225</f>
        <v>15</v>
      </c>
      <c r="C226" s="126"/>
      <c r="D226" s="126"/>
      <c r="E226" s="126">
        <f>E219+E225</f>
        <v>1484</v>
      </c>
      <c r="F226" s="132"/>
      <c r="G226" s="132"/>
    </row>
    <row r="227" spans="1:7" ht="17.25" customHeight="1">
      <c r="A227" s="202"/>
      <c r="B227" s="127"/>
      <c r="C227" s="128"/>
      <c r="D227" s="126"/>
      <c r="E227" s="126"/>
      <c r="F227" s="132"/>
      <c r="G227" s="132"/>
    </row>
    <row r="228" spans="1:7" ht="27" customHeight="1">
      <c r="A228" s="325" t="s">
        <v>399</v>
      </c>
      <c r="B228" s="334"/>
      <c r="C228" s="334"/>
      <c r="D228" s="334"/>
      <c r="E228" s="334"/>
      <c r="F228" s="132"/>
      <c r="G228" s="132"/>
    </row>
    <row r="229" spans="1:7" ht="23.25" customHeight="1">
      <c r="A229" s="40" t="s">
        <v>212</v>
      </c>
      <c r="B229" s="40" t="s">
        <v>213</v>
      </c>
      <c r="C229" s="40" t="s">
        <v>214</v>
      </c>
      <c r="D229" s="40" t="s">
        <v>215</v>
      </c>
      <c r="E229" s="39" t="s">
        <v>216</v>
      </c>
      <c r="F229" s="132"/>
      <c r="G229" s="132"/>
    </row>
    <row r="230" spans="1:7" ht="17.25" customHeight="1">
      <c r="A230" s="331" t="s">
        <v>223</v>
      </c>
      <c r="B230" s="332"/>
      <c r="C230" s="333"/>
      <c r="D230" s="40"/>
      <c r="E230" s="39"/>
      <c r="F230" s="132"/>
      <c r="G230" s="132"/>
    </row>
    <row r="231" spans="1:7" ht="17.25" customHeight="1">
      <c r="A231" s="40">
        <v>1002</v>
      </c>
      <c r="B231" s="40">
        <v>4</v>
      </c>
      <c r="C231" s="40" t="s">
        <v>237</v>
      </c>
      <c r="D231" s="40" t="s">
        <v>369</v>
      </c>
      <c r="E231" s="40">
        <v>426</v>
      </c>
      <c r="F231" s="132"/>
      <c r="G231" s="132"/>
    </row>
    <row r="232" spans="1:7" ht="17.25" customHeight="1">
      <c r="A232" s="40">
        <v>1006</v>
      </c>
      <c r="B232" s="40">
        <v>1</v>
      </c>
      <c r="C232" s="40" t="s">
        <v>218</v>
      </c>
      <c r="D232" s="40" t="s">
        <v>370</v>
      </c>
      <c r="E232" s="40">
        <v>72</v>
      </c>
      <c r="F232" s="132"/>
      <c r="G232" s="132"/>
    </row>
    <row r="233" spans="1:7" ht="17.25" customHeight="1">
      <c r="A233" s="40">
        <v>1007</v>
      </c>
      <c r="B233" s="40">
        <v>2</v>
      </c>
      <c r="C233" s="40" t="s">
        <v>237</v>
      </c>
      <c r="D233" s="40" t="s">
        <v>371</v>
      </c>
      <c r="E233" s="40">
        <v>213</v>
      </c>
      <c r="F233" s="132"/>
      <c r="G233" s="132"/>
    </row>
    <row r="234" spans="1:7" ht="17.25" customHeight="1">
      <c r="A234" s="40"/>
      <c r="B234" s="199">
        <f>SUM(B231:B233)</f>
        <v>7</v>
      </c>
      <c r="C234" s="199"/>
      <c r="D234" s="199"/>
      <c r="E234" s="199">
        <f>SUM(E231:E233)</f>
        <v>711</v>
      </c>
      <c r="F234" s="132"/>
      <c r="G234" s="132"/>
    </row>
    <row r="235" spans="1:7" ht="17.25" customHeight="1">
      <c r="A235" s="331" t="s">
        <v>217</v>
      </c>
      <c r="B235" s="332"/>
      <c r="C235" s="333"/>
      <c r="D235" s="40"/>
      <c r="E235" s="39"/>
      <c r="F235" s="132"/>
      <c r="G235" s="132"/>
    </row>
    <row r="236" spans="1:8" ht="17.25" customHeight="1">
      <c r="A236" s="70">
        <v>1003</v>
      </c>
      <c r="B236" s="91">
        <v>27</v>
      </c>
      <c r="C236" s="70" t="s">
        <v>218</v>
      </c>
      <c r="D236" s="40" t="s">
        <v>372</v>
      </c>
      <c r="E236" s="70">
        <v>2471</v>
      </c>
      <c r="F236" s="132"/>
      <c r="G236" s="140">
        <f>B236+B237+B239+B240</f>
        <v>41</v>
      </c>
      <c r="H236" s="99">
        <f>B236+B237+B239+B240</f>
        <v>41</v>
      </c>
    </row>
    <row r="237" spans="1:8" ht="17.25" customHeight="1">
      <c r="A237" s="70">
        <v>1004</v>
      </c>
      <c r="B237" s="91">
        <v>3</v>
      </c>
      <c r="C237" s="70" t="s">
        <v>218</v>
      </c>
      <c r="D237" s="40" t="s">
        <v>373</v>
      </c>
      <c r="E237" s="70">
        <v>264</v>
      </c>
      <c r="F237" s="132"/>
      <c r="G237" s="132"/>
      <c r="H237" s="99">
        <f>B238+B241</f>
        <v>2</v>
      </c>
    </row>
    <row r="238" spans="1:7" ht="17.25" customHeight="1">
      <c r="A238" s="70">
        <v>1005</v>
      </c>
      <c r="B238" s="91">
        <v>1</v>
      </c>
      <c r="C238" s="70" t="s">
        <v>228</v>
      </c>
      <c r="D238" s="40" t="s">
        <v>353</v>
      </c>
      <c r="E238" s="70">
        <v>100</v>
      </c>
      <c r="F238" s="132"/>
      <c r="G238" s="132"/>
    </row>
    <row r="239" spans="1:7" ht="17.25" customHeight="1">
      <c r="A239" s="70">
        <v>1009</v>
      </c>
      <c r="B239" s="91">
        <v>8</v>
      </c>
      <c r="C239" s="70" t="s">
        <v>218</v>
      </c>
      <c r="D239" s="40" t="s">
        <v>358</v>
      </c>
      <c r="E239" s="70">
        <v>734</v>
      </c>
      <c r="F239" s="132"/>
      <c r="G239" s="132"/>
    </row>
    <row r="240" spans="1:7" ht="17.25" customHeight="1">
      <c r="A240" s="70">
        <v>1010</v>
      </c>
      <c r="B240" s="91">
        <v>3</v>
      </c>
      <c r="C240" s="70" t="s">
        <v>218</v>
      </c>
      <c r="D240" s="40" t="s">
        <v>373</v>
      </c>
      <c r="E240" s="70">
        <v>254</v>
      </c>
      <c r="F240" s="132"/>
      <c r="G240" s="132"/>
    </row>
    <row r="241" spans="1:7" ht="17.25" customHeight="1">
      <c r="A241" s="70">
        <v>1011</v>
      </c>
      <c r="B241" s="91">
        <v>1</v>
      </c>
      <c r="C241" s="70" t="s">
        <v>237</v>
      </c>
      <c r="D241" s="40" t="s">
        <v>353</v>
      </c>
      <c r="E241" s="70">
        <v>100</v>
      </c>
      <c r="F241" s="132"/>
      <c r="G241" s="132"/>
    </row>
    <row r="242" spans="1:7" ht="17.25" customHeight="1">
      <c r="A242" s="40"/>
      <c r="B242" s="199">
        <f>SUM(B236:B241)</f>
        <v>43</v>
      </c>
      <c r="C242" s="199"/>
      <c r="D242" s="199"/>
      <c r="E242" s="202">
        <f>SUM(E236:E241)</f>
        <v>3923</v>
      </c>
      <c r="F242" s="132"/>
      <c r="G242" s="132"/>
    </row>
    <row r="243" spans="1:7" ht="17.25" customHeight="1">
      <c r="A243" s="331" t="s">
        <v>230</v>
      </c>
      <c r="B243" s="332"/>
      <c r="C243" s="333"/>
      <c r="D243" s="199"/>
      <c r="E243" s="202"/>
      <c r="F243" s="132"/>
      <c r="G243" s="132"/>
    </row>
    <row r="244" spans="1:7" ht="17.25" customHeight="1">
      <c r="A244" s="70">
        <v>1008</v>
      </c>
      <c r="B244" s="91">
        <v>1</v>
      </c>
      <c r="C244" s="70" t="s">
        <v>218</v>
      </c>
      <c r="D244" s="40" t="s">
        <v>353</v>
      </c>
      <c r="E244" s="70">
        <v>45</v>
      </c>
      <c r="F244" s="132"/>
      <c r="G244" s="132"/>
    </row>
    <row r="245" spans="1:7" ht="17.25" customHeight="1">
      <c r="A245" s="40"/>
      <c r="B245" s="199">
        <f>B244</f>
        <v>1</v>
      </c>
      <c r="C245" s="199"/>
      <c r="D245" s="199"/>
      <c r="E245" s="199">
        <f>E244</f>
        <v>45</v>
      </c>
      <c r="F245" s="132"/>
      <c r="G245" s="132"/>
    </row>
    <row r="246" spans="1:7" ht="17.25" customHeight="1">
      <c r="A246" s="199" t="s">
        <v>14</v>
      </c>
      <c r="B246" s="126">
        <f>B234+B242+B245</f>
        <v>51</v>
      </c>
      <c r="C246" s="126"/>
      <c r="D246" s="126"/>
      <c r="E246" s="126">
        <f>E234+E242+E245</f>
        <v>4679</v>
      </c>
      <c r="F246" s="132"/>
      <c r="G246" s="132"/>
    </row>
    <row r="247" spans="1:7" ht="17.25" customHeight="1">
      <c r="A247" s="202"/>
      <c r="B247" s="127"/>
      <c r="C247" s="128"/>
      <c r="D247" s="126"/>
      <c r="E247" s="126"/>
      <c r="F247" s="132"/>
      <c r="G247" s="132"/>
    </row>
    <row r="248" spans="1:7" ht="32.25" customHeight="1">
      <c r="A248" s="325" t="s">
        <v>657</v>
      </c>
      <c r="B248" s="334"/>
      <c r="C248" s="334"/>
      <c r="D248" s="334"/>
      <c r="E248" s="334"/>
      <c r="F248" s="132"/>
      <c r="G248" s="132"/>
    </row>
    <row r="249" spans="1:7" ht="24" customHeight="1">
      <c r="A249" s="40" t="s">
        <v>212</v>
      </c>
      <c r="B249" s="40" t="s">
        <v>213</v>
      </c>
      <c r="C249" s="40" t="s">
        <v>214</v>
      </c>
      <c r="D249" s="40" t="s">
        <v>215</v>
      </c>
      <c r="E249" s="39" t="s">
        <v>216</v>
      </c>
      <c r="F249" s="132"/>
      <c r="G249" s="132"/>
    </row>
    <row r="250" spans="1:7" ht="17.25" customHeight="1">
      <c r="A250" s="331" t="s">
        <v>223</v>
      </c>
      <c r="B250" s="332"/>
      <c r="C250" s="333"/>
      <c r="D250" s="40"/>
      <c r="E250" s="39"/>
      <c r="F250" s="132"/>
      <c r="G250" s="132"/>
    </row>
    <row r="251" spans="1:7" ht="17.25" customHeight="1">
      <c r="A251" s="40">
        <v>904</v>
      </c>
      <c r="B251" s="60">
        <v>2</v>
      </c>
      <c r="C251" s="60" t="s">
        <v>224</v>
      </c>
      <c r="D251" s="40" t="s">
        <v>400</v>
      </c>
      <c r="E251" s="40">
        <v>119</v>
      </c>
      <c r="F251" s="132"/>
      <c r="G251" s="132"/>
    </row>
    <row r="252" spans="1:7" ht="30" customHeight="1">
      <c r="A252" s="40">
        <v>905</v>
      </c>
      <c r="B252" s="40">
        <v>24</v>
      </c>
      <c r="C252" s="40" t="s">
        <v>225</v>
      </c>
      <c r="D252" s="40" t="s">
        <v>401</v>
      </c>
      <c r="E252" s="40">
        <v>1820</v>
      </c>
      <c r="F252" s="132"/>
      <c r="G252" s="132"/>
    </row>
    <row r="253" spans="1:7" ht="17.25" customHeight="1">
      <c r="A253" s="40">
        <v>906</v>
      </c>
      <c r="B253" s="60">
        <v>5</v>
      </c>
      <c r="C253" s="60" t="s">
        <v>228</v>
      </c>
      <c r="D253" s="40" t="s">
        <v>402</v>
      </c>
      <c r="E253" s="40">
        <v>537</v>
      </c>
      <c r="F253" s="132"/>
      <c r="G253" s="132"/>
    </row>
    <row r="254" spans="1:7" ht="17.25" customHeight="1">
      <c r="A254" s="40"/>
      <c r="B254" s="199">
        <f>SUM(B251:B253)</f>
        <v>31</v>
      </c>
      <c r="C254" s="199"/>
      <c r="D254" s="199"/>
      <c r="E254" s="199">
        <f>SUM(E251:E253)</f>
        <v>2476</v>
      </c>
      <c r="F254" s="132"/>
      <c r="G254" s="132"/>
    </row>
    <row r="255" spans="1:7" ht="17.25" customHeight="1">
      <c r="A255" s="331" t="s">
        <v>217</v>
      </c>
      <c r="B255" s="332"/>
      <c r="C255" s="333"/>
      <c r="D255" s="40"/>
      <c r="E255" s="39"/>
      <c r="F255" s="132"/>
      <c r="G255" s="132"/>
    </row>
    <row r="256" spans="1:7" ht="17.25" customHeight="1">
      <c r="A256" s="40">
        <v>907</v>
      </c>
      <c r="B256" s="60">
        <v>23</v>
      </c>
      <c r="C256" s="60" t="s">
        <v>225</v>
      </c>
      <c r="D256" s="106" t="s">
        <v>403</v>
      </c>
      <c r="E256" s="40">
        <v>1238</v>
      </c>
      <c r="F256" s="132"/>
      <c r="G256" s="132"/>
    </row>
    <row r="257" spans="1:7" ht="17.25" customHeight="1">
      <c r="A257" s="40">
        <v>908</v>
      </c>
      <c r="B257" s="40">
        <v>17</v>
      </c>
      <c r="C257" s="40" t="s">
        <v>228</v>
      </c>
      <c r="D257" s="106" t="s">
        <v>404</v>
      </c>
      <c r="E257" s="40">
        <v>1399</v>
      </c>
      <c r="F257" s="132"/>
      <c r="G257" s="132"/>
    </row>
    <row r="258" spans="1:7" ht="17.25" customHeight="1">
      <c r="A258" s="40"/>
      <c r="B258" s="199">
        <f>SUM(B256:B257)</f>
        <v>40</v>
      </c>
      <c r="C258" s="199"/>
      <c r="D258" s="199"/>
      <c r="E258" s="202">
        <f>SUM(E256:E257)</f>
        <v>2637</v>
      </c>
      <c r="F258" s="132"/>
      <c r="G258" s="132"/>
    </row>
    <row r="259" spans="1:7" ht="17.25" customHeight="1">
      <c r="A259" s="199" t="s">
        <v>14</v>
      </c>
      <c r="B259" s="126">
        <f>B254+B258</f>
        <v>71</v>
      </c>
      <c r="C259" s="126"/>
      <c r="D259" s="126"/>
      <c r="E259" s="126">
        <f>E254+E258</f>
        <v>5113</v>
      </c>
      <c r="F259" s="132"/>
      <c r="G259" s="132"/>
    </row>
    <row r="260" spans="1:7" ht="17.25" customHeight="1">
      <c r="A260" s="202"/>
      <c r="B260" s="127"/>
      <c r="C260" s="128"/>
      <c r="D260" s="126"/>
      <c r="E260" s="126"/>
      <c r="F260" s="132"/>
      <c r="G260" s="132"/>
    </row>
    <row r="261" spans="1:7" ht="26.25" customHeight="1">
      <c r="A261" s="325" t="s">
        <v>658</v>
      </c>
      <c r="B261" s="334"/>
      <c r="C261" s="334"/>
      <c r="D261" s="334"/>
      <c r="E261" s="334"/>
      <c r="F261" s="132"/>
      <c r="G261" s="132"/>
    </row>
    <row r="262" spans="1:7" ht="23.25" customHeight="1">
      <c r="A262" s="40" t="s">
        <v>212</v>
      </c>
      <c r="B262" s="40" t="s">
        <v>213</v>
      </c>
      <c r="C262" s="40" t="s">
        <v>214</v>
      </c>
      <c r="D262" s="40" t="s">
        <v>215</v>
      </c>
      <c r="E262" s="39" t="s">
        <v>216</v>
      </c>
      <c r="F262" s="132"/>
      <c r="G262" s="132"/>
    </row>
    <row r="263" spans="1:7" ht="17.25" customHeight="1">
      <c r="A263" s="331" t="s">
        <v>223</v>
      </c>
      <c r="B263" s="332"/>
      <c r="C263" s="333"/>
      <c r="D263" s="40"/>
      <c r="E263" s="39"/>
      <c r="F263" s="132"/>
      <c r="G263" s="132"/>
    </row>
    <row r="264" spans="1:7" ht="17.25" customHeight="1">
      <c r="A264" s="70">
        <v>765</v>
      </c>
      <c r="B264" s="40">
        <v>1</v>
      </c>
      <c r="C264" s="40" t="s">
        <v>224</v>
      </c>
      <c r="D264" s="106" t="s">
        <v>411</v>
      </c>
      <c r="E264" s="106">
        <v>48</v>
      </c>
      <c r="F264" s="132"/>
      <c r="G264" s="132"/>
    </row>
    <row r="265" spans="1:7" ht="17.25" customHeight="1">
      <c r="A265" s="40">
        <v>766</v>
      </c>
      <c r="B265" s="40">
        <v>6</v>
      </c>
      <c r="C265" s="40" t="s">
        <v>225</v>
      </c>
      <c r="D265" s="106" t="s">
        <v>412</v>
      </c>
      <c r="E265" s="106">
        <v>446</v>
      </c>
      <c r="F265" s="132"/>
      <c r="G265" s="132"/>
    </row>
    <row r="266" spans="1:7" ht="28.5" customHeight="1">
      <c r="A266" s="40">
        <v>767</v>
      </c>
      <c r="B266" s="40">
        <v>20</v>
      </c>
      <c r="C266" s="40" t="s">
        <v>228</v>
      </c>
      <c r="D266" s="106" t="s">
        <v>414</v>
      </c>
      <c r="E266" s="106">
        <v>2160</v>
      </c>
      <c r="F266" s="132"/>
      <c r="G266" s="132"/>
    </row>
    <row r="267" spans="1:7" ht="17.25" customHeight="1">
      <c r="A267" s="40"/>
      <c r="B267" s="199">
        <f>SUM(B264:B266)</f>
        <v>27</v>
      </c>
      <c r="C267" s="199"/>
      <c r="D267" s="199"/>
      <c r="E267" s="199">
        <f>SUM(E264:E266)</f>
        <v>2654</v>
      </c>
      <c r="F267" s="132"/>
      <c r="G267" s="132"/>
    </row>
    <row r="268" spans="1:7" ht="17.25" customHeight="1">
      <c r="A268" s="331" t="s">
        <v>217</v>
      </c>
      <c r="B268" s="332"/>
      <c r="C268" s="333"/>
      <c r="D268" s="40"/>
      <c r="E268" s="39"/>
      <c r="F268" s="132"/>
      <c r="G268" s="132"/>
    </row>
    <row r="269" spans="1:7" ht="17.25" customHeight="1">
      <c r="A269" s="45">
        <v>768</v>
      </c>
      <c r="B269" s="45">
        <v>8</v>
      </c>
      <c r="C269" s="45" t="s">
        <v>218</v>
      </c>
      <c r="D269" s="105" t="s">
        <v>290</v>
      </c>
      <c r="E269" s="105">
        <v>583</v>
      </c>
      <c r="F269" s="132"/>
      <c r="G269" s="132"/>
    </row>
    <row r="270" spans="1:7" ht="17.25" customHeight="1">
      <c r="A270" s="45">
        <v>769</v>
      </c>
      <c r="B270" s="45">
        <v>4</v>
      </c>
      <c r="C270" s="45" t="s">
        <v>237</v>
      </c>
      <c r="D270" s="105" t="s">
        <v>413</v>
      </c>
      <c r="E270" s="105">
        <v>290</v>
      </c>
      <c r="F270" s="132"/>
      <c r="G270" s="132"/>
    </row>
    <row r="271" spans="1:7" ht="17.25" customHeight="1">
      <c r="A271" s="40"/>
      <c r="B271" s="199">
        <f>SUM(B269:B270)</f>
        <v>12</v>
      </c>
      <c r="C271" s="199"/>
      <c r="D271" s="199"/>
      <c r="E271" s="199">
        <f>SUM(E269:E270)</f>
        <v>873</v>
      </c>
      <c r="F271" s="132"/>
      <c r="G271" s="132"/>
    </row>
    <row r="272" spans="1:7" ht="17.25" customHeight="1">
      <c r="A272" s="199" t="s">
        <v>14</v>
      </c>
      <c r="B272" s="126">
        <f>B267+B271</f>
        <v>39</v>
      </c>
      <c r="C272" s="126"/>
      <c r="D272" s="126"/>
      <c r="E272" s="126">
        <f>E267+E271</f>
        <v>3527</v>
      </c>
      <c r="F272" s="132"/>
      <c r="G272" s="132"/>
    </row>
    <row r="273" spans="1:7" ht="17.25" customHeight="1">
      <c r="A273" s="202"/>
      <c r="B273" s="127"/>
      <c r="C273" s="128"/>
      <c r="D273" s="126"/>
      <c r="E273" s="126"/>
      <c r="F273" s="132"/>
      <c r="G273" s="132"/>
    </row>
    <row r="274" spans="1:7" ht="34.5" customHeight="1">
      <c r="A274" s="325" t="s">
        <v>659</v>
      </c>
      <c r="B274" s="334"/>
      <c r="C274" s="334"/>
      <c r="D274" s="334"/>
      <c r="E274" s="334"/>
      <c r="F274" s="132"/>
      <c r="G274" s="132"/>
    </row>
    <row r="275" spans="1:7" ht="26.25" customHeight="1">
      <c r="A275" s="40" t="s">
        <v>212</v>
      </c>
      <c r="B275" s="40" t="s">
        <v>213</v>
      </c>
      <c r="C275" s="40" t="s">
        <v>214</v>
      </c>
      <c r="D275" s="40" t="s">
        <v>215</v>
      </c>
      <c r="E275" s="39" t="s">
        <v>216</v>
      </c>
      <c r="F275" s="132"/>
      <c r="G275" s="132"/>
    </row>
    <row r="276" spans="1:7" ht="17.25" customHeight="1">
      <c r="A276" s="331" t="s">
        <v>223</v>
      </c>
      <c r="B276" s="332"/>
      <c r="C276" s="333"/>
      <c r="D276" s="40"/>
      <c r="E276" s="39"/>
      <c r="F276" s="132"/>
      <c r="G276" s="132"/>
    </row>
    <row r="277" spans="1:7" ht="18" customHeight="1">
      <c r="A277" s="40">
        <v>1012</v>
      </c>
      <c r="B277" s="180">
        <v>1</v>
      </c>
      <c r="C277" s="180" t="s">
        <v>236</v>
      </c>
      <c r="D277" s="180" t="s">
        <v>261</v>
      </c>
      <c r="E277" s="106">
        <v>56</v>
      </c>
      <c r="F277" s="132"/>
      <c r="G277" s="132"/>
    </row>
    <row r="278" spans="1:7" ht="17.25" customHeight="1">
      <c r="A278" s="210">
        <v>1013</v>
      </c>
      <c r="B278" s="181">
        <v>1</v>
      </c>
      <c r="C278" s="181" t="s">
        <v>218</v>
      </c>
      <c r="D278" s="40" t="s">
        <v>415</v>
      </c>
      <c r="E278" s="181">
        <v>72</v>
      </c>
      <c r="F278" s="132"/>
      <c r="G278" s="132"/>
    </row>
    <row r="279" spans="1:7" ht="17.25" customHeight="1">
      <c r="A279" s="210">
        <v>1014</v>
      </c>
      <c r="B279" s="181">
        <v>5</v>
      </c>
      <c r="C279" s="181" t="s">
        <v>237</v>
      </c>
      <c r="D279" s="40" t="s">
        <v>416</v>
      </c>
      <c r="E279" s="181">
        <v>528</v>
      </c>
      <c r="F279" s="132"/>
      <c r="G279" s="132"/>
    </row>
    <row r="280" spans="1:7" ht="17.25" customHeight="1">
      <c r="A280" s="40"/>
      <c r="B280" s="199">
        <f>SUM(B277:B279)</f>
        <v>7</v>
      </c>
      <c r="C280" s="199"/>
      <c r="D280" s="199"/>
      <c r="E280" s="199">
        <f>SUM(E277:E279)</f>
        <v>656</v>
      </c>
      <c r="F280" s="132"/>
      <c r="G280" s="132"/>
    </row>
    <row r="281" spans="1:7" ht="17.25" customHeight="1">
      <c r="A281" s="331" t="s">
        <v>217</v>
      </c>
      <c r="B281" s="332"/>
      <c r="C281" s="333"/>
      <c r="D281" s="40"/>
      <c r="E281" s="39"/>
      <c r="F281" s="132"/>
      <c r="G281" s="132"/>
    </row>
    <row r="282" spans="1:7" ht="17.25" customHeight="1">
      <c r="A282" s="40">
        <v>1020</v>
      </c>
      <c r="B282" s="60">
        <v>10</v>
      </c>
      <c r="C282" s="200" t="s">
        <v>418</v>
      </c>
      <c r="D282" s="60" t="s">
        <v>419</v>
      </c>
      <c r="E282" s="60">
        <v>1765</v>
      </c>
      <c r="F282" s="132"/>
      <c r="G282" s="132"/>
    </row>
    <row r="283" spans="1:7" ht="17.25" customHeight="1">
      <c r="A283" s="70">
        <v>1016</v>
      </c>
      <c r="B283" s="91">
        <v>2</v>
      </c>
      <c r="C283" s="70" t="s">
        <v>236</v>
      </c>
      <c r="D283" s="106" t="s">
        <v>304</v>
      </c>
      <c r="E283" s="107">
        <v>84</v>
      </c>
      <c r="F283" s="132"/>
      <c r="G283" s="132"/>
    </row>
    <row r="284" spans="1:7" ht="17.25" customHeight="1">
      <c r="A284" s="70">
        <v>1017</v>
      </c>
      <c r="B284" s="91">
        <v>19</v>
      </c>
      <c r="C284" s="70" t="s">
        <v>218</v>
      </c>
      <c r="D284" s="106" t="s">
        <v>417</v>
      </c>
      <c r="E284" s="107">
        <v>1705</v>
      </c>
      <c r="F284" s="132"/>
      <c r="G284" s="132"/>
    </row>
    <row r="285" spans="1:7" ht="17.25" customHeight="1">
      <c r="A285" s="70">
        <v>1018</v>
      </c>
      <c r="B285" s="91">
        <v>3</v>
      </c>
      <c r="C285" s="70" t="s">
        <v>218</v>
      </c>
      <c r="D285" s="106" t="s">
        <v>240</v>
      </c>
      <c r="E285" s="107">
        <v>254</v>
      </c>
      <c r="F285" s="132"/>
      <c r="G285" s="132"/>
    </row>
    <row r="286" spans="1:7" ht="17.25" customHeight="1">
      <c r="A286" s="70">
        <v>1019</v>
      </c>
      <c r="B286" s="91">
        <v>1</v>
      </c>
      <c r="C286" s="70" t="s">
        <v>237</v>
      </c>
      <c r="D286" s="106" t="s">
        <v>239</v>
      </c>
      <c r="E286" s="107">
        <v>100</v>
      </c>
      <c r="F286" s="132"/>
      <c r="G286" s="132"/>
    </row>
    <row r="287" spans="1:7" ht="17.25" customHeight="1">
      <c r="A287" s="40"/>
      <c r="B287" s="199">
        <f>SUM(B282:B286)</f>
        <v>35</v>
      </c>
      <c r="C287" s="199"/>
      <c r="D287" s="199"/>
      <c r="E287" s="199">
        <f>SUM(E282:E286)</f>
        <v>3908</v>
      </c>
      <c r="F287" s="132"/>
      <c r="G287" s="132"/>
    </row>
    <row r="288" spans="1:7" ht="17.25" customHeight="1">
      <c r="A288" s="331" t="s">
        <v>230</v>
      </c>
      <c r="B288" s="332"/>
      <c r="C288" s="333"/>
      <c r="D288" s="158"/>
      <c r="E288" s="199"/>
      <c r="F288" s="132"/>
      <c r="G288" s="132"/>
    </row>
    <row r="289" spans="1:7" ht="17.25" customHeight="1">
      <c r="A289" s="70">
        <v>1015</v>
      </c>
      <c r="B289" s="91">
        <v>1</v>
      </c>
      <c r="C289" s="70" t="s">
        <v>218</v>
      </c>
      <c r="D289" s="106" t="s">
        <v>239</v>
      </c>
      <c r="E289" s="107">
        <v>45</v>
      </c>
      <c r="F289" s="132"/>
      <c r="G289" s="132"/>
    </row>
    <row r="290" spans="1:7" ht="17.25" customHeight="1">
      <c r="A290" s="40"/>
      <c r="B290" s="199">
        <f>B289</f>
        <v>1</v>
      </c>
      <c r="C290" s="199"/>
      <c r="D290" s="199"/>
      <c r="E290" s="199">
        <f>E289</f>
        <v>45</v>
      </c>
      <c r="F290" s="132"/>
      <c r="G290" s="132"/>
    </row>
    <row r="291" spans="1:7" ht="17.25" customHeight="1">
      <c r="A291" s="199" t="s">
        <v>14</v>
      </c>
      <c r="B291" s="126">
        <f>B280+B287+B290</f>
        <v>43</v>
      </c>
      <c r="C291" s="126"/>
      <c r="D291" s="126"/>
      <c r="E291" s="126">
        <f>E280+E287+E290</f>
        <v>4609</v>
      </c>
      <c r="F291" s="132"/>
      <c r="G291" s="132"/>
    </row>
    <row r="292" spans="1:7" ht="17.25" customHeight="1">
      <c r="A292" s="202"/>
      <c r="B292" s="127"/>
      <c r="C292" s="128"/>
      <c r="D292" s="126"/>
      <c r="E292" s="126"/>
      <c r="F292" s="132"/>
      <c r="G292" s="132"/>
    </row>
    <row r="293" spans="1:7" ht="26.25" customHeight="1">
      <c r="A293" s="325" t="s">
        <v>660</v>
      </c>
      <c r="B293" s="334"/>
      <c r="C293" s="334"/>
      <c r="D293" s="334"/>
      <c r="E293" s="334"/>
      <c r="F293" s="132"/>
      <c r="G293" s="132"/>
    </row>
    <row r="294" spans="1:7" ht="29.25" customHeight="1">
      <c r="A294" s="40" t="s">
        <v>212</v>
      </c>
      <c r="B294" s="40" t="s">
        <v>213</v>
      </c>
      <c r="C294" s="40" t="s">
        <v>214</v>
      </c>
      <c r="D294" s="40" t="s">
        <v>215</v>
      </c>
      <c r="E294" s="39" t="s">
        <v>216</v>
      </c>
      <c r="F294" s="132"/>
      <c r="G294" s="132"/>
    </row>
    <row r="295" spans="1:7" ht="19.5" customHeight="1">
      <c r="A295" s="331" t="s">
        <v>223</v>
      </c>
      <c r="B295" s="332"/>
      <c r="C295" s="333"/>
      <c r="D295" s="40"/>
      <c r="E295" s="39"/>
      <c r="F295" s="132"/>
      <c r="G295" s="132"/>
    </row>
    <row r="296" spans="1:7" ht="27.75">
      <c r="A296" s="40">
        <v>1021</v>
      </c>
      <c r="B296" s="180">
        <v>11</v>
      </c>
      <c r="C296" s="181" t="s">
        <v>237</v>
      </c>
      <c r="D296" s="40" t="s">
        <v>430</v>
      </c>
      <c r="E296" s="181">
        <v>1147</v>
      </c>
      <c r="F296" s="132"/>
      <c r="G296" s="132"/>
    </row>
    <row r="297" spans="1:7" ht="17.25" customHeight="1">
      <c r="A297" s="40"/>
      <c r="B297" s="199">
        <f>SUM(B296:B296)</f>
        <v>11</v>
      </c>
      <c r="C297" s="199"/>
      <c r="D297" s="199"/>
      <c r="E297" s="199">
        <f>SUM(E296:E296)</f>
        <v>1147</v>
      </c>
      <c r="F297" s="132"/>
      <c r="G297" s="132"/>
    </row>
    <row r="298" spans="1:7" ht="17.25" customHeight="1">
      <c r="A298" s="331" t="s">
        <v>217</v>
      </c>
      <c r="B298" s="332"/>
      <c r="C298" s="333"/>
      <c r="D298" s="40"/>
      <c r="E298" s="39"/>
      <c r="F298" s="132"/>
      <c r="G298" s="132"/>
    </row>
    <row r="299" spans="1:7" ht="21" customHeight="1">
      <c r="A299" s="70">
        <v>1022</v>
      </c>
      <c r="B299" s="91">
        <v>25</v>
      </c>
      <c r="C299" s="182" t="s">
        <v>435</v>
      </c>
      <c r="D299" s="106" t="s">
        <v>431</v>
      </c>
      <c r="E299" s="107">
        <v>2568</v>
      </c>
      <c r="F299" s="132"/>
      <c r="G299" s="132"/>
    </row>
    <row r="300" spans="1:7" ht="28.5" customHeight="1">
      <c r="A300" s="70">
        <v>1023</v>
      </c>
      <c r="B300" s="91">
        <v>25</v>
      </c>
      <c r="C300" s="182" t="s">
        <v>232</v>
      </c>
      <c r="D300" s="106" t="s">
        <v>432</v>
      </c>
      <c r="E300" s="107">
        <v>2601</v>
      </c>
      <c r="F300" s="132"/>
      <c r="G300" s="132"/>
    </row>
    <row r="301" spans="1:7" ht="21" customHeight="1">
      <c r="A301" s="70">
        <v>1024</v>
      </c>
      <c r="B301" s="91">
        <v>20</v>
      </c>
      <c r="C301" s="182" t="s">
        <v>436</v>
      </c>
      <c r="D301" s="106" t="s">
        <v>433</v>
      </c>
      <c r="E301" s="107">
        <v>3542</v>
      </c>
      <c r="F301" s="132"/>
      <c r="G301" s="132"/>
    </row>
    <row r="302" spans="1:7" ht="21" customHeight="1">
      <c r="A302" s="40">
        <v>1025</v>
      </c>
      <c r="B302" s="60">
        <v>30</v>
      </c>
      <c r="C302" s="200" t="s">
        <v>437</v>
      </c>
      <c r="D302" s="106" t="s">
        <v>434</v>
      </c>
      <c r="E302" s="106">
        <v>7261</v>
      </c>
      <c r="F302" s="132"/>
      <c r="G302" s="132"/>
    </row>
    <row r="303" spans="1:7" ht="22.5" customHeight="1">
      <c r="A303" s="70">
        <v>1027</v>
      </c>
      <c r="B303" s="91">
        <v>1</v>
      </c>
      <c r="C303" s="70" t="s">
        <v>236</v>
      </c>
      <c r="D303" s="106" t="s">
        <v>239</v>
      </c>
      <c r="E303" s="107">
        <v>36</v>
      </c>
      <c r="F303" s="132"/>
      <c r="G303" s="132"/>
    </row>
    <row r="304" spans="1:7" ht="22.5" customHeight="1">
      <c r="A304" s="70">
        <v>1028</v>
      </c>
      <c r="B304" s="91">
        <v>22</v>
      </c>
      <c r="C304" s="70" t="s">
        <v>218</v>
      </c>
      <c r="D304" s="106" t="s">
        <v>438</v>
      </c>
      <c r="E304" s="107">
        <v>1976</v>
      </c>
      <c r="F304" s="132"/>
      <c r="G304" s="132"/>
    </row>
    <row r="305" spans="1:7" ht="22.5" customHeight="1">
      <c r="A305" s="70">
        <v>1029</v>
      </c>
      <c r="B305" s="91">
        <v>11</v>
      </c>
      <c r="C305" s="70" t="s">
        <v>218</v>
      </c>
      <c r="D305" s="106" t="s">
        <v>439</v>
      </c>
      <c r="E305" s="107">
        <v>926</v>
      </c>
      <c r="F305" s="132"/>
      <c r="G305" s="132"/>
    </row>
    <row r="306" spans="1:7" ht="22.5" customHeight="1">
      <c r="A306" s="70">
        <v>1030</v>
      </c>
      <c r="B306" s="91">
        <v>3</v>
      </c>
      <c r="C306" s="70" t="s">
        <v>237</v>
      </c>
      <c r="D306" s="106" t="s">
        <v>240</v>
      </c>
      <c r="E306" s="107">
        <v>300</v>
      </c>
      <c r="F306" s="132"/>
      <c r="G306" s="132"/>
    </row>
    <row r="307" spans="1:7" ht="17.25" customHeight="1">
      <c r="A307" s="40"/>
      <c r="B307" s="199">
        <f>SUM(B299:B306)</f>
        <v>137</v>
      </c>
      <c r="C307" s="199"/>
      <c r="D307" s="199"/>
      <c r="E307" s="199">
        <f>SUM(E299:E306)</f>
        <v>19210</v>
      </c>
      <c r="F307" s="132"/>
      <c r="G307" s="132"/>
    </row>
    <row r="308" spans="1:7" ht="17.25" customHeight="1">
      <c r="A308" s="331" t="s">
        <v>230</v>
      </c>
      <c r="B308" s="332"/>
      <c r="C308" s="333"/>
      <c r="D308" s="199"/>
      <c r="E308" s="199"/>
      <c r="F308" s="132"/>
      <c r="G308" s="132"/>
    </row>
    <row r="309" spans="1:7" ht="16.5" customHeight="1">
      <c r="A309" s="70">
        <v>1026</v>
      </c>
      <c r="B309" s="91">
        <v>1</v>
      </c>
      <c r="C309" s="70" t="s">
        <v>218</v>
      </c>
      <c r="D309" s="106" t="s">
        <v>239</v>
      </c>
      <c r="E309" s="107">
        <v>45</v>
      </c>
      <c r="F309" s="132"/>
      <c r="G309" s="132"/>
    </row>
    <row r="310" spans="1:7" ht="17.25" customHeight="1">
      <c r="A310" s="40"/>
      <c r="B310" s="199">
        <f>B309</f>
        <v>1</v>
      </c>
      <c r="C310" s="199"/>
      <c r="D310" s="199"/>
      <c r="E310" s="199">
        <f>E309</f>
        <v>45</v>
      </c>
      <c r="F310" s="132"/>
      <c r="G310" s="132"/>
    </row>
    <row r="311" spans="1:7" ht="17.25" customHeight="1">
      <c r="A311" s="199" t="s">
        <v>14</v>
      </c>
      <c r="B311" s="126">
        <f>B297+B307+B310</f>
        <v>149</v>
      </c>
      <c r="C311" s="126"/>
      <c r="D311" s="126"/>
      <c r="E311" s="126">
        <f>E297+E307+E310</f>
        <v>20402</v>
      </c>
      <c r="F311" s="132"/>
      <c r="G311" s="132"/>
    </row>
    <row r="312" spans="1:7" ht="17.25" customHeight="1">
      <c r="A312" s="202"/>
      <c r="B312" s="127"/>
      <c r="C312" s="128"/>
      <c r="D312" s="126"/>
      <c r="E312" s="126"/>
      <c r="F312" s="132"/>
      <c r="G312" s="132"/>
    </row>
    <row r="313" spans="1:7" ht="28.5" customHeight="1">
      <c r="A313" s="325" t="s">
        <v>661</v>
      </c>
      <c r="B313" s="334"/>
      <c r="C313" s="334"/>
      <c r="D313" s="334"/>
      <c r="E313" s="334"/>
      <c r="F313" s="132"/>
      <c r="G313" s="132"/>
    </row>
    <row r="314" spans="1:7" ht="24" customHeight="1">
      <c r="A314" s="40" t="s">
        <v>212</v>
      </c>
      <c r="B314" s="40" t="s">
        <v>213</v>
      </c>
      <c r="C314" s="40" t="s">
        <v>214</v>
      </c>
      <c r="D314" s="40" t="s">
        <v>215</v>
      </c>
      <c r="E314" s="39" t="s">
        <v>216</v>
      </c>
      <c r="F314" s="132"/>
      <c r="G314" s="132"/>
    </row>
    <row r="315" spans="1:7" ht="17.25" customHeight="1">
      <c r="A315" s="331" t="s">
        <v>223</v>
      </c>
      <c r="B315" s="332"/>
      <c r="C315" s="333"/>
      <c r="D315" s="40"/>
      <c r="E315" s="39"/>
      <c r="F315" s="132"/>
      <c r="G315" s="132"/>
    </row>
    <row r="316" spans="1:7" ht="30.75" customHeight="1">
      <c r="A316" s="70">
        <v>205</v>
      </c>
      <c r="B316" s="91">
        <v>17</v>
      </c>
      <c r="C316" s="91" t="s">
        <v>224</v>
      </c>
      <c r="D316" s="70" t="s">
        <v>440</v>
      </c>
      <c r="E316" s="107">
        <v>1056</v>
      </c>
      <c r="F316" s="132"/>
      <c r="G316" s="132"/>
    </row>
    <row r="317" spans="1:7" ht="17.25" customHeight="1">
      <c r="A317" s="40">
        <v>206</v>
      </c>
      <c r="B317" s="106">
        <v>8</v>
      </c>
      <c r="C317" s="106" t="s">
        <v>225</v>
      </c>
      <c r="D317" s="106" t="s">
        <v>441</v>
      </c>
      <c r="E317" s="106">
        <v>643</v>
      </c>
      <c r="F317" s="132"/>
      <c r="G317" s="132"/>
    </row>
    <row r="318" spans="1:7" ht="17.25" customHeight="1">
      <c r="A318" s="40"/>
      <c r="B318" s="199">
        <f>SUM(B316:B317)</f>
        <v>25</v>
      </c>
      <c r="C318" s="199"/>
      <c r="D318" s="199"/>
      <c r="E318" s="199">
        <f>SUM(E316:E317)</f>
        <v>1699</v>
      </c>
      <c r="F318" s="132"/>
      <c r="G318" s="132"/>
    </row>
    <row r="319" spans="1:7" ht="17.25" customHeight="1">
      <c r="A319" s="331" t="s">
        <v>217</v>
      </c>
      <c r="B319" s="332"/>
      <c r="C319" s="333"/>
      <c r="D319" s="40"/>
      <c r="E319" s="39"/>
      <c r="F319" s="132"/>
      <c r="G319" s="132"/>
    </row>
    <row r="320" spans="1:7" ht="17.25" customHeight="1">
      <c r="A320" s="40">
        <v>207</v>
      </c>
      <c r="B320" s="60">
        <v>15</v>
      </c>
      <c r="C320" s="40" t="s">
        <v>224</v>
      </c>
      <c r="D320" s="60" t="s">
        <v>442</v>
      </c>
      <c r="E320" s="40">
        <v>772</v>
      </c>
      <c r="F320" s="132"/>
      <c r="G320" s="132">
        <f>B320+B325</f>
        <v>18</v>
      </c>
    </row>
    <row r="321" spans="1:7" ht="17.25" customHeight="1">
      <c r="A321" s="40">
        <v>208</v>
      </c>
      <c r="B321" s="40">
        <v>2</v>
      </c>
      <c r="C321" s="40" t="s">
        <v>225</v>
      </c>
      <c r="D321" s="40" t="s">
        <v>443</v>
      </c>
      <c r="E321" s="40">
        <v>143</v>
      </c>
      <c r="F321" s="132"/>
      <c r="G321" s="132">
        <f>B321+B326</f>
        <v>5</v>
      </c>
    </row>
    <row r="322" spans="1:7" ht="17.25" customHeight="1">
      <c r="A322" s="40">
        <v>211</v>
      </c>
      <c r="B322" s="40">
        <v>2</v>
      </c>
      <c r="C322" s="200" t="s">
        <v>232</v>
      </c>
      <c r="D322" s="40" t="s">
        <v>444</v>
      </c>
      <c r="E322" s="40">
        <v>248</v>
      </c>
      <c r="F322" s="132"/>
      <c r="G322" s="132"/>
    </row>
    <row r="323" spans="1:7" ht="17.25" customHeight="1">
      <c r="A323" s="40">
        <v>212</v>
      </c>
      <c r="B323" s="40">
        <v>4</v>
      </c>
      <c r="C323" s="200" t="s">
        <v>241</v>
      </c>
      <c r="D323" s="40" t="s">
        <v>445</v>
      </c>
      <c r="E323" s="40">
        <v>800</v>
      </c>
      <c r="F323" s="132"/>
      <c r="G323" s="132"/>
    </row>
    <row r="324" spans="1:7" ht="17.25" customHeight="1">
      <c r="A324" s="40">
        <v>214</v>
      </c>
      <c r="B324" s="40">
        <v>2</v>
      </c>
      <c r="C324" s="200" t="s">
        <v>244</v>
      </c>
      <c r="D324" s="40" t="s">
        <v>446</v>
      </c>
      <c r="E324" s="40">
        <v>585</v>
      </c>
      <c r="F324" s="132"/>
      <c r="G324" s="132"/>
    </row>
    <row r="325" spans="1:7" ht="17.25" customHeight="1">
      <c r="A325" s="40">
        <v>215</v>
      </c>
      <c r="B325" s="40">
        <v>3</v>
      </c>
      <c r="C325" s="40" t="s">
        <v>224</v>
      </c>
      <c r="D325" s="40" t="s">
        <v>452</v>
      </c>
      <c r="E325" s="40">
        <v>162</v>
      </c>
      <c r="F325" s="132"/>
      <c r="G325" s="132"/>
    </row>
    <row r="326" spans="1:7" ht="17.25" customHeight="1">
      <c r="A326" s="40">
        <v>216</v>
      </c>
      <c r="B326" s="40">
        <v>3</v>
      </c>
      <c r="C326" s="40" t="s">
        <v>225</v>
      </c>
      <c r="D326" s="40" t="s">
        <v>453</v>
      </c>
      <c r="E326" s="40">
        <v>200</v>
      </c>
      <c r="F326" s="132"/>
      <c r="G326" s="132"/>
    </row>
    <row r="327" spans="1:7" ht="25.5" customHeight="1">
      <c r="A327" s="40">
        <v>213</v>
      </c>
      <c r="B327" s="40">
        <v>3</v>
      </c>
      <c r="C327" s="200" t="s">
        <v>447</v>
      </c>
      <c r="D327" s="40" t="s">
        <v>448</v>
      </c>
      <c r="E327" s="40">
        <v>580</v>
      </c>
      <c r="F327" s="132"/>
      <c r="G327" s="132"/>
    </row>
    <row r="328" spans="1:7" ht="17.25" customHeight="1">
      <c r="A328" s="40"/>
      <c r="B328" s="199">
        <f>SUM(B320:B327)</f>
        <v>34</v>
      </c>
      <c r="C328" s="199"/>
      <c r="D328" s="199"/>
      <c r="E328" s="199">
        <f>SUM(E320:E327)</f>
        <v>3490</v>
      </c>
      <c r="F328" s="132"/>
      <c r="G328" s="132"/>
    </row>
    <row r="329" spans="1:7" ht="17.25" customHeight="1">
      <c r="A329" s="331" t="s">
        <v>229</v>
      </c>
      <c r="B329" s="332"/>
      <c r="C329" s="333"/>
      <c r="D329" s="199"/>
      <c r="E329" s="199"/>
      <c r="F329" s="132"/>
      <c r="G329" s="132"/>
    </row>
    <row r="330" spans="1:7" ht="17.25" customHeight="1">
      <c r="A330" s="40">
        <v>209</v>
      </c>
      <c r="B330" s="60">
        <v>5</v>
      </c>
      <c r="C330" s="60" t="s">
        <v>225</v>
      </c>
      <c r="D330" s="60" t="s">
        <v>450</v>
      </c>
      <c r="E330" s="40">
        <v>281</v>
      </c>
      <c r="F330" s="132"/>
      <c r="G330" s="132"/>
    </row>
    <row r="331" spans="1:7" ht="17.25" customHeight="1">
      <c r="A331" s="40"/>
      <c r="B331" s="199">
        <f>B330</f>
        <v>5</v>
      </c>
      <c r="C331" s="199"/>
      <c r="D331" s="199"/>
      <c r="E331" s="199">
        <f>E330</f>
        <v>281</v>
      </c>
      <c r="F331" s="132"/>
      <c r="G331" s="132"/>
    </row>
    <row r="332" spans="1:7" ht="17.25" customHeight="1">
      <c r="A332" s="331" t="s">
        <v>230</v>
      </c>
      <c r="B332" s="332"/>
      <c r="C332" s="333"/>
      <c r="D332" s="199"/>
      <c r="E332" s="199"/>
      <c r="F332" s="132"/>
      <c r="G332" s="132"/>
    </row>
    <row r="333" spans="1:7" ht="17.25" customHeight="1">
      <c r="A333" s="40">
        <v>210</v>
      </c>
      <c r="B333" s="40">
        <v>1</v>
      </c>
      <c r="C333" s="40" t="s">
        <v>225</v>
      </c>
      <c r="D333" s="40" t="s">
        <v>449</v>
      </c>
      <c r="E333" s="40">
        <v>56</v>
      </c>
      <c r="F333" s="132"/>
      <c r="G333" s="132"/>
    </row>
    <row r="334" spans="1:7" ht="17.25" customHeight="1">
      <c r="A334" s="40"/>
      <c r="B334" s="199">
        <f>B333</f>
        <v>1</v>
      </c>
      <c r="C334" s="199"/>
      <c r="D334" s="199"/>
      <c r="E334" s="199">
        <f>E333</f>
        <v>56</v>
      </c>
      <c r="F334" s="132"/>
      <c r="G334" s="132"/>
    </row>
    <row r="335" spans="1:7" ht="17.25" customHeight="1">
      <c r="A335" s="199" t="s">
        <v>14</v>
      </c>
      <c r="B335" s="126">
        <f>B318+B328+B334+B331</f>
        <v>65</v>
      </c>
      <c r="C335" s="126"/>
      <c r="D335" s="126"/>
      <c r="E335" s="126">
        <f>E318+E328+E334+E331</f>
        <v>5526</v>
      </c>
      <c r="F335" s="132"/>
      <c r="G335" s="132"/>
    </row>
    <row r="336" spans="1:7" ht="17.25" customHeight="1">
      <c r="A336" s="202"/>
      <c r="B336" s="127"/>
      <c r="C336" s="128"/>
      <c r="D336" s="126"/>
      <c r="E336" s="126"/>
      <c r="F336" s="132"/>
      <c r="G336" s="132"/>
    </row>
    <row r="337" spans="1:7" ht="28.5" customHeight="1">
      <c r="A337" s="325" t="s">
        <v>662</v>
      </c>
      <c r="B337" s="334"/>
      <c r="C337" s="334"/>
      <c r="D337" s="334"/>
      <c r="E337" s="334"/>
      <c r="F337" s="132"/>
      <c r="G337" s="132"/>
    </row>
    <row r="338" spans="1:7" ht="22.5" customHeight="1">
      <c r="A338" s="40" t="s">
        <v>212</v>
      </c>
      <c r="B338" s="40" t="s">
        <v>213</v>
      </c>
      <c r="C338" s="40" t="s">
        <v>214</v>
      </c>
      <c r="D338" s="40" t="s">
        <v>215</v>
      </c>
      <c r="E338" s="39" t="s">
        <v>216</v>
      </c>
      <c r="F338" s="132"/>
      <c r="G338" s="132"/>
    </row>
    <row r="339" spans="1:7" ht="17.25" customHeight="1">
      <c r="A339" s="331" t="s">
        <v>223</v>
      </c>
      <c r="B339" s="332"/>
      <c r="C339" s="333"/>
      <c r="D339" s="40"/>
      <c r="E339" s="39"/>
      <c r="F339" s="132"/>
      <c r="G339" s="132"/>
    </row>
    <row r="340" spans="1:7" ht="26.25" customHeight="1">
      <c r="A340" s="60" t="s">
        <v>457</v>
      </c>
      <c r="B340" s="60">
        <v>20</v>
      </c>
      <c r="C340" s="60" t="s">
        <v>224</v>
      </c>
      <c r="D340" s="40" t="s">
        <v>458</v>
      </c>
      <c r="E340" s="60">
        <v>1213.7</v>
      </c>
      <c r="F340" s="132"/>
      <c r="G340" s="132"/>
    </row>
    <row r="341" spans="1:7" ht="17.25" customHeight="1">
      <c r="A341" s="60" t="s">
        <v>459</v>
      </c>
      <c r="B341" s="60">
        <v>6</v>
      </c>
      <c r="C341" s="60" t="s">
        <v>228</v>
      </c>
      <c r="D341" s="40" t="s">
        <v>460</v>
      </c>
      <c r="E341" s="60">
        <v>672.4</v>
      </c>
      <c r="F341" s="132"/>
      <c r="G341" s="132"/>
    </row>
    <row r="342" spans="1:7" ht="17.25" customHeight="1">
      <c r="A342" s="60" t="s">
        <v>461</v>
      </c>
      <c r="B342" s="60">
        <v>7</v>
      </c>
      <c r="C342" s="60" t="s">
        <v>218</v>
      </c>
      <c r="D342" s="40" t="s">
        <v>462</v>
      </c>
      <c r="E342" s="60">
        <v>560.05</v>
      </c>
      <c r="F342" s="132"/>
      <c r="G342" s="132"/>
    </row>
    <row r="343" spans="1:7" ht="17.25" customHeight="1">
      <c r="A343" s="60" t="s">
        <v>463</v>
      </c>
      <c r="B343" s="60">
        <v>1</v>
      </c>
      <c r="C343" s="40" t="s">
        <v>501</v>
      </c>
      <c r="D343" s="40" t="s">
        <v>464</v>
      </c>
      <c r="E343" s="60">
        <v>62</v>
      </c>
      <c r="F343" s="132"/>
      <c r="G343" s="132"/>
    </row>
    <row r="344" spans="1:7" ht="17.25" customHeight="1">
      <c r="A344" s="60" t="s">
        <v>465</v>
      </c>
      <c r="B344" s="60">
        <v>6</v>
      </c>
      <c r="C344" s="60" t="s">
        <v>224</v>
      </c>
      <c r="D344" s="40" t="s">
        <v>466</v>
      </c>
      <c r="E344" s="60">
        <v>347</v>
      </c>
      <c r="F344" s="132"/>
      <c r="G344" s="132"/>
    </row>
    <row r="345" spans="1:7" ht="17.25" customHeight="1">
      <c r="A345" s="40"/>
      <c r="B345" s="199">
        <f>SUM(B340:B344)</f>
        <v>40</v>
      </c>
      <c r="C345" s="199"/>
      <c r="D345" s="199"/>
      <c r="E345" s="199">
        <f>SUM(E340:E344)</f>
        <v>2855.1499999999996</v>
      </c>
      <c r="F345" s="132"/>
      <c r="G345" s="132"/>
    </row>
    <row r="346" spans="1:7" ht="17.25" customHeight="1">
      <c r="A346" s="331" t="s">
        <v>217</v>
      </c>
      <c r="B346" s="332"/>
      <c r="C346" s="333"/>
      <c r="D346" s="40"/>
      <c r="E346" s="39"/>
      <c r="F346" s="132"/>
      <c r="G346" s="132"/>
    </row>
    <row r="347" spans="1:8" ht="17.25" customHeight="1">
      <c r="A347" s="60" t="s">
        <v>467</v>
      </c>
      <c r="B347" s="180">
        <v>14</v>
      </c>
      <c r="C347" s="106" t="s">
        <v>224</v>
      </c>
      <c r="D347" s="106" t="s">
        <v>468</v>
      </c>
      <c r="E347" s="180">
        <v>837</v>
      </c>
      <c r="F347" s="132"/>
      <c r="G347" s="132"/>
      <c r="H347" s="99">
        <f>B347+B350</f>
        <v>23</v>
      </c>
    </row>
    <row r="348" spans="1:7" ht="17.25" customHeight="1">
      <c r="A348" s="60" t="s">
        <v>469</v>
      </c>
      <c r="B348" s="180">
        <v>2</v>
      </c>
      <c r="C348" s="200" t="s">
        <v>435</v>
      </c>
      <c r="D348" s="40" t="s">
        <v>470</v>
      </c>
      <c r="E348" s="40">
        <v>214</v>
      </c>
      <c r="F348" s="132"/>
      <c r="G348" s="132"/>
    </row>
    <row r="349" spans="1:7" ht="17.25" customHeight="1">
      <c r="A349" s="60" t="s">
        <v>471</v>
      </c>
      <c r="B349" s="60">
        <v>10</v>
      </c>
      <c r="C349" s="200" t="s">
        <v>241</v>
      </c>
      <c r="D349" s="40" t="s">
        <v>472</v>
      </c>
      <c r="E349" s="60">
        <v>2045</v>
      </c>
      <c r="F349" s="132"/>
      <c r="G349" s="132"/>
    </row>
    <row r="350" spans="1:7" ht="17.25" customHeight="1">
      <c r="A350" s="60" t="s">
        <v>473</v>
      </c>
      <c r="B350" s="180">
        <v>9</v>
      </c>
      <c r="C350" s="106" t="s">
        <v>357</v>
      </c>
      <c r="D350" s="106" t="s">
        <v>474</v>
      </c>
      <c r="E350" s="180">
        <v>385</v>
      </c>
      <c r="F350" s="132"/>
      <c r="G350" s="132"/>
    </row>
    <row r="351" spans="1:7" ht="17.25" customHeight="1">
      <c r="A351" s="60" t="s">
        <v>475</v>
      </c>
      <c r="B351" s="180">
        <v>16</v>
      </c>
      <c r="C351" s="106" t="s">
        <v>482</v>
      </c>
      <c r="D351" s="106" t="s">
        <v>476</v>
      </c>
      <c r="E351" s="180">
        <v>972</v>
      </c>
      <c r="F351" s="132"/>
      <c r="G351" s="132"/>
    </row>
    <row r="352" spans="1:7" ht="17.25" customHeight="1">
      <c r="A352" s="60" t="s">
        <v>477</v>
      </c>
      <c r="B352" s="180">
        <v>5</v>
      </c>
      <c r="C352" s="106" t="s">
        <v>478</v>
      </c>
      <c r="D352" s="106" t="s">
        <v>479</v>
      </c>
      <c r="E352" s="180">
        <v>369</v>
      </c>
      <c r="F352" s="132"/>
      <c r="G352" s="132"/>
    </row>
    <row r="353" spans="1:7" ht="17.25" customHeight="1">
      <c r="A353" s="40"/>
      <c r="B353" s="199">
        <f>SUM(B347:B352)</f>
        <v>56</v>
      </c>
      <c r="C353" s="199"/>
      <c r="D353" s="199"/>
      <c r="E353" s="202">
        <f>SUM(E347:E352)</f>
        <v>4822</v>
      </c>
      <c r="F353" s="132"/>
      <c r="G353" s="132"/>
    </row>
    <row r="354" spans="1:7" ht="17.25" customHeight="1">
      <c r="A354" s="331" t="s">
        <v>229</v>
      </c>
      <c r="B354" s="332"/>
      <c r="C354" s="333"/>
      <c r="D354" s="199"/>
      <c r="E354" s="202"/>
      <c r="F354" s="132"/>
      <c r="G354" s="132"/>
    </row>
    <row r="355" spans="1:7" ht="17.25" customHeight="1">
      <c r="A355" s="60" t="s">
        <v>480</v>
      </c>
      <c r="B355" s="180">
        <v>6</v>
      </c>
      <c r="C355" s="180" t="s">
        <v>483</v>
      </c>
      <c r="D355" s="106" t="s">
        <v>481</v>
      </c>
      <c r="E355" s="180">
        <v>351.8</v>
      </c>
      <c r="F355" s="132"/>
      <c r="G355" s="132"/>
    </row>
    <row r="356" spans="1:7" ht="17.25" customHeight="1">
      <c r="A356" s="40"/>
      <c r="B356" s="199">
        <f>B355</f>
        <v>6</v>
      </c>
      <c r="C356" s="199"/>
      <c r="D356" s="199"/>
      <c r="E356" s="199">
        <f>E355</f>
        <v>351.8</v>
      </c>
      <c r="F356" s="132"/>
      <c r="G356" s="132"/>
    </row>
    <row r="357" spans="1:7" ht="17.25" customHeight="1">
      <c r="A357" s="199" t="s">
        <v>14</v>
      </c>
      <c r="B357" s="126">
        <f>B345+B353+B356</f>
        <v>102</v>
      </c>
      <c r="C357" s="126"/>
      <c r="D357" s="126"/>
      <c r="E357" s="126">
        <f>E345+E353+E356</f>
        <v>8028.95</v>
      </c>
      <c r="F357" s="132"/>
      <c r="G357" s="132"/>
    </row>
    <row r="358" spans="1:7" ht="17.25" customHeight="1">
      <c r="A358" s="202"/>
      <c r="B358" s="127"/>
      <c r="C358" s="128"/>
      <c r="D358" s="126"/>
      <c r="E358" s="126"/>
      <c r="F358" s="132"/>
      <c r="G358" s="132"/>
    </row>
    <row r="359" spans="1:7" ht="28.5" customHeight="1">
      <c r="A359" s="325" t="s">
        <v>663</v>
      </c>
      <c r="B359" s="334"/>
      <c r="C359" s="334"/>
      <c r="D359" s="334"/>
      <c r="E359" s="334"/>
      <c r="F359" s="132"/>
      <c r="G359" s="132"/>
    </row>
    <row r="360" spans="1:7" ht="24" customHeight="1">
      <c r="A360" s="40" t="s">
        <v>212</v>
      </c>
      <c r="B360" s="40" t="s">
        <v>213</v>
      </c>
      <c r="C360" s="40" t="s">
        <v>214</v>
      </c>
      <c r="D360" s="40" t="s">
        <v>215</v>
      </c>
      <c r="E360" s="39" t="s">
        <v>216</v>
      </c>
      <c r="F360" s="132"/>
      <c r="G360" s="132"/>
    </row>
    <row r="361" spans="1:7" ht="17.25" customHeight="1">
      <c r="A361" s="331" t="s">
        <v>223</v>
      </c>
      <c r="B361" s="332"/>
      <c r="C361" s="333"/>
      <c r="D361" s="40"/>
      <c r="E361" s="39"/>
      <c r="F361" s="132"/>
      <c r="G361" s="132"/>
    </row>
    <row r="362" spans="1:7" ht="17.25" customHeight="1">
      <c r="A362" s="60">
        <v>23108</v>
      </c>
      <c r="B362" s="60">
        <v>4</v>
      </c>
      <c r="C362" s="40" t="s">
        <v>225</v>
      </c>
      <c r="D362" s="40" t="s">
        <v>484</v>
      </c>
      <c r="E362" s="60">
        <v>334</v>
      </c>
      <c r="F362" s="132"/>
      <c r="G362" s="132"/>
    </row>
    <row r="363" spans="1:7" ht="17.25" customHeight="1">
      <c r="A363" s="40"/>
      <c r="B363" s="199">
        <f>SUM(B362:B362)</f>
        <v>4</v>
      </c>
      <c r="C363" s="199"/>
      <c r="D363" s="199"/>
      <c r="E363" s="199">
        <f>SUM(E362:E362)</f>
        <v>334</v>
      </c>
      <c r="F363" s="132"/>
      <c r="G363" s="132"/>
    </row>
    <row r="364" spans="1:7" ht="17.25" customHeight="1">
      <c r="A364" s="331" t="s">
        <v>217</v>
      </c>
      <c r="B364" s="332"/>
      <c r="C364" s="333"/>
      <c r="D364" s="40"/>
      <c r="E364" s="39"/>
      <c r="F364" s="132"/>
      <c r="G364" s="132"/>
    </row>
    <row r="365" spans="1:7" ht="17.25" customHeight="1">
      <c r="A365" s="60">
        <v>23110</v>
      </c>
      <c r="B365" s="60">
        <v>2</v>
      </c>
      <c r="C365" s="60" t="s">
        <v>224</v>
      </c>
      <c r="D365" s="60" t="s">
        <v>486</v>
      </c>
      <c r="E365" s="60">
        <v>108</v>
      </c>
      <c r="F365" s="132"/>
      <c r="G365" s="132"/>
    </row>
    <row r="366" spans="1:7" ht="17.25" customHeight="1">
      <c r="A366" s="40">
        <v>23111</v>
      </c>
      <c r="B366" s="40">
        <v>3</v>
      </c>
      <c r="C366" s="183" t="s">
        <v>241</v>
      </c>
      <c r="D366" s="40" t="s">
        <v>487</v>
      </c>
      <c r="E366" s="40">
        <v>590</v>
      </c>
      <c r="F366" s="132"/>
      <c r="G366" s="132"/>
    </row>
    <row r="367" spans="1:7" ht="17.25" customHeight="1">
      <c r="A367" s="40">
        <v>23112</v>
      </c>
      <c r="B367" s="40">
        <v>1</v>
      </c>
      <c r="C367" s="200" t="s">
        <v>244</v>
      </c>
      <c r="D367" s="40" t="s">
        <v>284</v>
      </c>
      <c r="E367" s="40">
        <v>290</v>
      </c>
      <c r="F367" s="132"/>
      <c r="G367" s="132"/>
    </row>
    <row r="368" spans="1:7" ht="17.25" customHeight="1">
      <c r="A368" s="40">
        <v>23113</v>
      </c>
      <c r="B368" s="40">
        <v>1</v>
      </c>
      <c r="C368" s="200" t="s">
        <v>488</v>
      </c>
      <c r="D368" s="40" t="s">
        <v>489</v>
      </c>
      <c r="E368" s="40">
        <v>430</v>
      </c>
      <c r="F368" s="132"/>
      <c r="G368" s="132"/>
    </row>
    <row r="369" spans="1:7" ht="17.25" customHeight="1">
      <c r="A369" s="40"/>
      <c r="B369" s="199">
        <f>SUM(B365:B368)</f>
        <v>7</v>
      </c>
      <c r="C369" s="199"/>
      <c r="D369" s="199"/>
      <c r="E369" s="199">
        <f>SUM(E365:E368)</f>
        <v>1418</v>
      </c>
      <c r="F369" s="132"/>
      <c r="G369" s="132"/>
    </row>
    <row r="370" spans="1:7" ht="17.25" customHeight="1">
      <c r="A370" s="199" t="s">
        <v>14</v>
      </c>
      <c r="B370" s="126">
        <f>B363+B369</f>
        <v>11</v>
      </c>
      <c r="C370" s="126"/>
      <c r="D370" s="126"/>
      <c r="E370" s="126">
        <f>E363+E369</f>
        <v>1752</v>
      </c>
      <c r="F370" s="132"/>
      <c r="G370" s="132"/>
    </row>
    <row r="371" spans="1:7" ht="17.25" customHeight="1">
      <c r="A371" s="202"/>
      <c r="B371" s="127"/>
      <c r="C371" s="128"/>
      <c r="D371" s="126"/>
      <c r="E371" s="126"/>
      <c r="F371" s="132"/>
      <c r="G371" s="132"/>
    </row>
    <row r="372" spans="1:7" ht="26.25" customHeight="1">
      <c r="A372" s="325" t="s">
        <v>664</v>
      </c>
      <c r="B372" s="334"/>
      <c r="C372" s="334"/>
      <c r="D372" s="334"/>
      <c r="E372" s="334"/>
      <c r="F372" s="132"/>
      <c r="G372" s="132"/>
    </row>
    <row r="373" spans="1:7" ht="25.5" customHeight="1">
      <c r="A373" s="40" t="s">
        <v>212</v>
      </c>
      <c r="B373" s="40" t="s">
        <v>213</v>
      </c>
      <c r="C373" s="40" t="s">
        <v>214</v>
      </c>
      <c r="D373" s="40" t="s">
        <v>215</v>
      </c>
      <c r="E373" s="39" t="s">
        <v>216</v>
      </c>
      <c r="F373" s="132"/>
      <c r="G373" s="132"/>
    </row>
    <row r="374" spans="1:7" ht="17.25" customHeight="1">
      <c r="A374" s="331" t="s">
        <v>223</v>
      </c>
      <c r="B374" s="332"/>
      <c r="C374" s="333"/>
      <c r="D374" s="40"/>
      <c r="E374" s="39"/>
      <c r="F374" s="132"/>
      <c r="G374" s="132"/>
    </row>
    <row r="375" spans="1:7" ht="17.25" customHeight="1">
      <c r="A375" s="60">
        <v>23109</v>
      </c>
      <c r="B375" s="60">
        <v>8</v>
      </c>
      <c r="C375" s="40" t="s">
        <v>228</v>
      </c>
      <c r="D375" s="40" t="s">
        <v>485</v>
      </c>
      <c r="E375" s="60">
        <v>894</v>
      </c>
      <c r="F375" s="132"/>
      <c r="G375" s="132"/>
    </row>
    <row r="376" spans="1:7" ht="17.25" customHeight="1">
      <c r="A376" s="40"/>
      <c r="B376" s="199">
        <f>SUM(B375:B375)</f>
        <v>8</v>
      </c>
      <c r="C376" s="199"/>
      <c r="D376" s="199"/>
      <c r="E376" s="199">
        <f>SUM(E375:E375)</f>
        <v>894</v>
      </c>
      <c r="F376" s="132"/>
      <c r="G376" s="132"/>
    </row>
    <row r="377" spans="1:7" ht="17.25" customHeight="1">
      <c r="A377" s="331" t="s">
        <v>217</v>
      </c>
      <c r="B377" s="332"/>
      <c r="C377" s="333"/>
      <c r="D377" s="40"/>
      <c r="E377" s="39"/>
      <c r="F377" s="132"/>
      <c r="G377" s="132"/>
    </row>
    <row r="378" spans="1:7" ht="17.25" customHeight="1">
      <c r="A378" s="60">
        <v>23114</v>
      </c>
      <c r="B378" s="60">
        <v>2</v>
      </c>
      <c r="C378" s="40" t="s">
        <v>228</v>
      </c>
      <c r="D378" s="40" t="s">
        <v>490</v>
      </c>
      <c r="E378" s="60">
        <v>147</v>
      </c>
      <c r="F378" s="132"/>
      <c r="G378" s="132"/>
    </row>
    <row r="379" spans="1:7" ht="17.25" customHeight="1">
      <c r="A379" s="60">
        <v>23114</v>
      </c>
      <c r="B379" s="60">
        <v>1</v>
      </c>
      <c r="C379" s="200" t="s">
        <v>232</v>
      </c>
      <c r="D379" s="70" t="s">
        <v>491</v>
      </c>
      <c r="E379" s="40">
        <v>90</v>
      </c>
      <c r="F379" s="132"/>
      <c r="G379" s="132"/>
    </row>
    <row r="380" spans="1:7" ht="17.25" customHeight="1">
      <c r="A380" s="40"/>
      <c r="B380" s="199">
        <f>SUM(B378:B379)</f>
        <v>3</v>
      </c>
      <c r="C380" s="199"/>
      <c r="D380" s="199"/>
      <c r="E380" s="199">
        <f>SUM(E378:E379)</f>
        <v>237</v>
      </c>
      <c r="F380" s="132"/>
      <c r="G380" s="132"/>
    </row>
    <row r="381" spans="1:7" ht="17.25" customHeight="1">
      <c r="A381" s="331" t="s">
        <v>230</v>
      </c>
      <c r="B381" s="332"/>
      <c r="C381" s="333"/>
      <c r="D381" s="199"/>
      <c r="E381" s="202"/>
      <c r="F381" s="132"/>
      <c r="G381" s="132"/>
    </row>
    <row r="382" spans="1:7" ht="17.25" customHeight="1">
      <c r="A382" s="42">
        <v>23139</v>
      </c>
      <c r="B382" s="60">
        <v>10</v>
      </c>
      <c r="C382" s="40" t="s">
        <v>218</v>
      </c>
      <c r="D382" s="70" t="s">
        <v>496</v>
      </c>
      <c r="E382" s="40">
        <v>675</v>
      </c>
      <c r="F382" s="132"/>
      <c r="G382" s="132"/>
    </row>
    <row r="383" spans="1:7" ht="17.25" customHeight="1">
      <c r="A383" s="40"/>
      <c r="B383" s="199">
        <f>B382</f>
        <v>10</v>
      </c>
      <c r="C383" s="199"/>
      <c r="D383" s="199"/>
      <c r="E383" s="199">
        <f>E382</f>
        <v>675</v>
      </c>
      <c r="F383" s="132"/>
      <c r="G383" s="132"/>
    </row>
    <row r="384" spans="1:7" ht="17.25" customHeight="1">
      <c r="A384" s="199" t="s">
        <v>14</v>
      </c>
      <c r="B384" s="126">
        <f>B376+B380+B383</f>
        <v>21</v>
      </c>
      <c r="C384" s="126"/>
      <c r="D384" s="126"/>
      <c r="E384" s="126">
        <f>E376+E380+E383</f>
        <v>1806</v>
      </c>
      <c r="F384" s="132"/>
      <c r="G384" s="132"/>
    </row>
    <row r="385" spans="1:7" ht="17.25" customHeight="1">
      <c r="A385" s="202"/>
      <c r="B385" s="127"/>
      <c r="C385" s="128"/>
      <c r="D385" s="126"/>
      <c r="E385" s="126"/>
      <c r="F385" s="132"/>
      <c r="G385" s="132"/>
    </row>
    <row r="386" spans="1:7" ht="33.75" customHeight="1">
      <c r="A386" s="325" t="s">
        <v>665</v>
      </c>
      <c r="B386" s="334"/>
      <c r="C386" s="334"/>
      <c r="D386" s="334"/>
      <c r="E386" s="334"/>
      <c r="F386" s="132"/>
      <c r="G386" s="132"/>
    </row>
    <row r="387" spans="1:7" ht="23.25" customHeight="1">
      <c r="A387" s="40" t="s">
        <v>212</v>
      </c>
      <c r="B387" s="40" t="s">
        <v>213</v>
      </c>
      <c r="C387" s="40" t="s">
        <v>214</v>
      </c>
      <c r="D387" s="40" t="s">
        <v>215</v>
      </c>
      <c r="E387" s="39" t="s">
        <v>216</v>
      </c>
      <c r="F387" s="132"/>
      <c r="G387" s="132"/>
    </row>
    <row r="388" spans="1:7" ht="17.25" customHeight="1">
      <c r="A388" s="331" t="s">
        <v>223</v>
      </c>
      <c r="B388" s="332"/>
      <c r="C388" s="333"/>
      <c r="D388" s="40"/>
      <c r="E388" s="39"/>
      <c r="F388" s="132"/>
      <c r="G388" s="132"/>
    </row>
    <row r="389" spans="1:7" ht="17.25" customHeight="1">
      <c r="A389" s="70">
        <v>2</v>
      </c>
      <c r="B389" s="91">
        <v>2</v>
      </c>
      <c r="C389" s="60" t="s">
        <v>224</v>
      </c>
      <c r="D389" s="181" t="s">
        <v>502</v>
      </c>
      <c r="E389" s="70">
        <v>116</v>
      </c>
      <c r="F389" s="132"/>
      <c r="G389" s="132"/>
    </row>
    <row r="390" spans="1:7" ht="17.25" customHeight="1">
      <c r="A390" s="70">
        <v>3</v>
      </c>
      <c r="B390" s="60">
        <v>8</v>
      </c>
      <c r="C390" s="91" t="s">
        <v>225</v>
      </c>
      <c r="D390" s="60" t="s">
        <v>503</v>
      </c>
      <c r="E390" s="40">
        <v>646</v>
      </c>
      <c r="F390" s="132"/>
      <c r="G390" s="132"/>
    </row>
    <row r="391" spans="1:7" ht="17.25" customHeight="1">
      <c r="A391" s="70">
        <v>4</v>
      </c>
      <c r="B391" s="91">
        <v>12</v>
      </c>
      <c r="C391" s="60" t="s">
        <v>228</v>
      </c>
      <c r="D391" s="70" t="s">
        <v>504</v>
      </c>
      <c r="E391" s="70">
        <v>1335</v>
      </c>
      <c r="F391" s="132"/>
      <c r="G391" s="132"/>
    </row>
    <row r="392" spans="1:7" ht="17.25" customHeight="1">
      <c r="A392" s="70">
        <v>5</v>
      </c>
      <c r="B392" s="40">
        <v>2</v>
      </c>
      <c r="C392" s="200" t="s">
        <v>510</v>
      </c>
      <c r="D392" s="106" t="s">
        <v>505</v>
      </c>
      <c r="E392" s="180">
        <v>1300</v>
      </c>
      <c r="F392" s="132"/>
      <c r="G392" s="132"/>
    </row>
    <row r="393" spans="1:7" ht="17.25" customHeight="1">
      <c r="A393" s="70">
        <v>6</v>
      </c>
      <c r="B393" s="105">
        <v>2</v>
      </c>
      <c r="C393" s="109" t="s">
        <v>511</v>
      </c>
      <c r="D393" s="105" t="s">
        <v>506</v>
      </c>
      <c r="E393" s="105">
        <v>2000</v>
      </c>
      <c r="F393" s="132"/>
      <c r="G393" s="132"/>
    </row>
    <row r="394" spans="1:7" ht="17.25" customHeight="1">
      <c r="A394" s="40"/>
      <c r="B394" s="199">
        <f>SUM(B389:B393)</f>
        <v>26</v>
      </c>
      <c r="C394" s="199"/>
      <c r="D394" s="199"/>
      <c r="E394" s="199">
        <f>SUM(E389:E393)</f>
        <v>5397</v>
      </c>
      <c r="F394" s="132"/>
      <c r="G394" s="132"/>
    </row>
    <row r="395" spans="1:7" ht="17.25" customHeight="1">
      <c r="A395" s="331" t="s">
        <v>217</v>
      </c>
      <c r="B395" s="332"/>
      <c r="C395" s="333"/>
      <c r="D395" s="40"/>
      <c r="E395" s="39"/>
      <c r="F395" s="132"/>
      <c r="G395" s="132"/>
    </row>
    <row r="396" spans="1:7" ht="17.25" customHeight="1">
      <c r="A396" s="70">
        <v>7</v>
      </c>
      <c r="B396" s="60">
        <v>3</v>
      </c>
      <c r="C396" s="40" t="s">
        <v>224</v>
      </c>
      <c r="D396" s="70" t="s">
        <v>507</v>
      </c>
      <c r="E396" s="40">
        <v>150</v>
      </c>
      <c r="F396" s="132"/>
      <c r="G396" s="132"/>
    </row>
    <row r="397" spans="1:7" ht="17.25" customHeight="1">
      <c r="A397" s="40">
        <v>8</v>
      </c>
      <c r="B397" s="60">
        <v>11</v>
      </c>
      <c r="C397" s="133" t="s">
        <v>232</v>
      </c>
      <c r="D397" s="180" t="s">
        <v>603</v>
      </c>
      <c r="E397" s="40">
        <v>1229</v>
      </c>
      <c r="F397" s="132"/>
      <c r="G397" s="132"/>
    </row>
    <row r="398" spans="1:7" ht="17.25" customHeight="1">
      <c r="A398" s="40">
        <v>9</v>
      </c>
      <c r="B398" s="40">
        <v>6</v>
      </c>
      <c r="C398" s="133" t="s">
        <v>241</v>
      </c>
      <c r="D398" s="180" t="s">
        <v>604</v>
      </c>
      <c r="E398" s="40">
        <v>1229</v>
      </c>
      <c r="F398" s="132"/>
      <c r="G398" s="132"/>
    </row>
    <row r="399" spans="1:7" ht="17.25" customHeight="1">
      <c r="A399" s="139">
        <v>10</v>
      </c>
      <c r="B399" s="105">
        <v>9</v>
      </c>
      <c r="C399" s="109" t="s">
        <v>244</v>
      </c>
      <c r="D399" s="105" t="s">
        <v>509</v>
      </c>
      <c r="E399" s="105">
        <v>2357</v>
      </c>
      <c r="F399" s="132"/>
      <c r="G399" s="132"/>
    </row>
    <row r="400" spans="1:7" ht="17.25" customHeight="1">
      <c r="A400" s="40"/>
      <c r="B400" s="199">
        <f>SUM(B396:B399)</f>
        <v>29</v>
      </c>
      <c r="C400" s="199"/>
      <c r="D400" s="199"/>
      <c r="E400" s="199">
        <f>SUM(E396:E399)</f>
        <v>4965</v>
      </c>
      <c r="F400" s="132"/>
      <c r="G400" s="132"/>
    </row>
    <row r="401" spans="1:7" ht="17.25" customHeight="1">
      <c r="A401" s="331" t="s">
        <v>229</v>
      </c>
      <c r="B401" s="332"/>
      <c r="C401" s="333"/>
      <c r="D401" s="199"/>
      <c r="E401" s="202"/>
      <c r="F401" s="132"/>
      <c r="G401" s="132"/>
    </row>
    <row r="402" spans="1:7" ht="17.25" customHeight="1">
      <c r="A402" s="70">
        <v>1</v>
      </c>
      <c r="B402" s="91">
        <v>3</v>
      </c>
      <c r="C402" s="91" t="s">
        <v>225</v>
      </c>
      <c r="D402" s="70" t="s">
        <v>508</v>
      </c>
      <c r="E402" s="70">
        <v>186</v>
      </c>
      <c r="F402" s="132"/>
      <c r="G402" s="132"/>
    </row>
    <row r="403" spans="1:7" ht="17.25" customHeight="1">
      <c r="A403" s="40"/>
      <c r="B403" s="199">
        <f>B402</f>
        <v>3</v>
      </c>
      <c r="C403" s="199"/>
      <c r="D403" s="199"/>
      <c r="E403" s="199">
        <f>E402</f>
        <v>186</v>
      </c>
      <c r="F403" s="132"/>
      <c r="G403" s="132"/>
    </row>
    <row r="404" spans="1:7" ht="17.25" customHeight="1">
      <c r="A404" s="199" t="s">
        <v>14</v>
      </c>
      <c r="B404" s="126">
        <f>B394+B400+B403</f>
        <v>58</v>
      </c>
      <c r="C404" s="126"/>
      <c r="D404" s="126"/>
      <c r="E404" s="126">
        <f>E394+E400+E403</f>
        <v>10548</v>
      </c>
      <c r="F404" s="126"/>
      <c r="G404" s="126"/>
    </row>
    <row r="405" spans="1:7" ht="17.25" customHeight="1">
      <c r="A405" s="202"/>
      <c r="B405" s="127"/>
      <c r="C405" s="128"/>
      <c r="D405" s="126"/>
      <c r="E405" s="126"/>
      <c r="F405" s="132"/>
      <c r="G405" s="132"/>
    </row>
    <row r="406" spans="1:7" ht="31.5" customHeight="1">
      <c r="A406" s="325" t="s">
        <v>666</v>
      </c>
      <c r="B406" s="334"/>
      <c r="C406" s="334"/>
      <c r="D406" s="334"/>
      <c r="E406" s="334"/>
      <c r="F406" s="132"/>
      <c r="G406" s="132"/>
    </row>
    <row r="407" spans="1:7" ht="24" customHeight="1">
      <c r="A407" s="40" t="s">
        <v>212</v>
      </c>
      <c r="B407" s="40" t="s">
        <v>213</v>
      </c>
      <c r="C407" s="40" t="s">
        <v>214</v>
      </c>
      <c r="D407" s="40" t="s">
        <v>215</v>
      </c>
      <c r="E407" s="39" t="s">
        <v>216</v>
      </c>
      <c r="F407" s="132"/>
      <c r="G407" s="132"/>
    </row>
    <row r="408" spans="1:7" ht="17.25" customHeight="1">
      <c r="A408" s="331" t="s">
        <v>223</v>
      </c>
      <c r="B408" s="332"/>
      <c r="C408" s="333"/>
      <c r="D408" s="40"/>
      <c r="E408" s="39"/>
      <c r="F408" s="132"/>
      <c r="G408" s="132"/>
    </row>
    <row r="409" spans="1:7" ht="17.25" customHeight="1">
      <c r="A409" s="184" t="s">
        <v>512</v>
      </c>
      <c r="B409" s="185">
        <v>1</v>
      </c>
      <c r="C409" s="106" t="s">
        <v>225</v>
      </c>
      <c r="D409" s="185" t="s">
        <v>513</v>
      </c>
      <c r="E409" s="185">
        <v>85</v>
      </c>
      <c r="F409" s="132"/>
      <c r="G409" s="132"/>
    </row>
    <row r="410" spans="1:7" ht="17.25" customHeight="1">
      <c r="A410" s="106" t="s">
        <v>514</v>
      </c>
      <c r="B410" s="106">
        <v>2</v>
      </c>
      <c r="C410" s="106" t="s">
        <v>228</v>
      </c>
      <c r="D410" s="186" t="s">
        <v>515</v>
      </c>
      <c r="E410" s="106">
        <v>244</v>
      </c>
      <c r="F410" s="132"/>
      <c r="G410" s="132"/>
    </row>
    <row r="411" spans="1:7" ht="17.25" customHeight="1">
      <c r="A411" s="40"/>
      <c r="B411" s="199">
        <f>SUM(B409:B410)</f>
        <v>3</v>
      </c>
      <c r="C411" s="199"/>
      <c r="D411" s="199"/>
      <c r="E411" s="199">
        <f>SUM(E409:E410)</f>
        <v>329</v>
      </c>
      <c r="F411" s="132"/>
      <c r="G411" s="132"/>
    </row>
    <row r="412" spans="1:7" ht="17.25" customHeight="1">
      <c r="A412" s="331" t="s">
        <v>217</v>
      </c>
      <c r="B412" s="332"/>
      <c r="C412" s="333"/>
      <c r="D412" s="40"/>
      <c r="E412" s="39"/>
      <c r="F412" s="132"/>
      <c r="G412" s="132"/>
    </row>
    <row r="413" spans="1:7" ht="17.25" customHeight="1">
      <c r="A413" s="110" t="s">
        <v>516</v>
      </c>
      <c r="B413" s="60">
        <v>2</v>
      </c>
      <c r="C413" s="133" t="s">
        <v>232</v>
      </c>
      <c r="D413" s="70" t="s">
        <v>517</v>
      </c>
      <c r="E413" s="40">
        <v>234</v>
      </c>
      <c r="F413" s="132"/>
      <c r="G413" s="132"/>
    </row>
    <row r="414" spans="1:7" ht="17.25" customHeight="1">
      <c r="A414" s="110" t="s">
        <v>516</v>
      </c>
      <c r="B414" s="40">
        <v>2</v>
      </c>
      <c r="C414" s="200" t="s">
        <v>241</v>
      </c>
      <c r="D414" s="40" t="s">
        <v>518</v>
      </c>
      <c r="E414" s="40">
        <v>420</v>
      </c>
      <c r="F414" s="132"/>
      <c r="G414" s="132"/>
    </row>
    <row r="415" spans="1:7" ht="17.25" customHeight="1">
      <c r="A415" s="110" t="s">
        <v>516</v>
      </c>
      <c r="B415" s="40">
        <v>2</v>
      </c>
      <c r="C415" s="200" t="s">
        <v>519</v>
      </c>
      <c r="D415" s="40" t="s">
        <v>520</v>
      </c>
      <c r="E415" s="40">
        <v>555</v>
      </c>
      <c r="F415" s="132"/>
      <c r="G415" s="132"/>
    </row>
    <row r="416" spans="1:7" ht="17.25" customHeight="1">
      <c r="A416" s="187" t="s">
        <v>521</v>
      </c>
      <c r="B416" s="91">
        <v>2</v>
      </c>
      <c r="C416" s="70" t="s">
        <v>228</v>
      </c>
      <c r="D416" s="70" t="s">
        <v>522</v>
      </c>
      <c r="E416" s="70">
        <v>165</v>
      </c>
      <c r="F416" s="132"/>
      <c r="G416" s="132"/>
    </row>
    <row r="417" spans="1:7" ht="17.25" customHeight="1">
      <c r="A417" s="40"/>
      <c r="B417" s="199">
        <f>SUM(B413:B416)</f>
        <v>8</v>
      </c>
      <c r="C417" s="199"/>
      <c r="D417" s="199"/>
      <c r="E417" s="199">
        <f>SUM(E413:E416)</f>
        <v>1374</v>
      </c>
      <c r="F417" s="132"/>
      <c r="G417" s="132"/>
    </row>
    <row r="418" spans="1:7" ht="17.25" customHeight="1">
      <c r="A418" s="199" t="s">
        <v>14</v>
      </c>
      <c r="B418" s="126">
        <f>B411+B417</f>
        <v>11</v>
      </c>
      <c r="C418" s="126"/>
      <c r="D418" s="126"/>
      <c r="E418" s="126">
        <f>E411+E417</f>
        <v>1703</v>
      </c>
      <c r="F418" s="126"/>
      <c r="G418" s="126"/>
    </row>
    <row r="419" spans="1:7" ht="17.25" customHeight="1">
      <c r="A419" s="202"/>
      <c r="B419" s="127"/>
      <c r="C419" s="128"/>
      <c r="D419" s="126"/>
      <c r="E419" s="126"/>
      <c r="F419" s="192"/>
      <c r="G419" s="192"/>
    </row>
    <row r="420" spans="1:7" ht="27.75" customHeight="1">
      <c r="A420" s="325" t="s">
        <v>667</v>
      </c>
      <c r="B420" s="334"/>
      <c r="C420" s="334"/>
      <c r="D420" s="334"/>
      <c r="E420" s="334"/>
      <c r="F420" s="192"/>
      <c r="G420" s="192"/>
    </row>
    <row r="421" spans="1:7" ht="26.25" customHeight="1">
      <c r="A421" s="40" t="s">
        <v>212</v>
      </c>
      <c r="B421" s="40" t="s">
        <v>213</v>
      </c>
      <c r="C421" s="40" t="s">
        <v>214</v>
      </c>
      <c r="D421" s="40" t="s">
        <v>215</v>
      </c>
      <c r="E421" s="39" t="s">
        <v>216</v>
      </c>
      <c r="F421" s="192"/>
      <c r="G421" s="192"/>
    </row>
    <row r="422" spans="1:7" ht="17.25" customHeight="1">
      <c r="A422" s="331" t="s">
        <v>223</v>
      </c>
      <c r="B422" s="332"/>
      <c r="C422" s="333"/>
      <c r="D422" s="40"/>
      <c r="E422" s="39"/>
      <c r="F422" s="192"/>
      <c r="G422" s="192"/>
    </row>
    <row r="423" spans="1:7" ht="17.25" customHeight="1">
      <c r="A423" s="91">
        <v>1294</v>
      </c>
      <c r="B423" s="91">
        <v>2</v>
      </c>
      <c r="C423" s="91" t="s">
        <v>224</v>
      </c>
      <c r="D423" s="70" t="s">
        <v>533</v>
      </c>
      <c r="E423" s="91">
        <v>110</v>
      </c>
      <c r="F423" s="192"/>
      <c r="G423" s="192"/>
    </row>
    <row r="424" spans="1:7" ht="30" customHeight="1">
      <c r="A424" s="70">
        <v>1295</v>
      </c>
      <c r="B424" s="91">
        <v>18</v>
      </c>
      <c r="C424" s="91" t="s">
        <v>535</v>
      </c>
      <c r="D424" s="70" t="s">
        <v>534</v>
      </c>
      <c r="E424" s="70">
        <v>1398</v>
      </c>
      <c r="F424" s="192"/>
      <c r="G424" s="192"/>
    </row>
    <row r="425" spans="1:7" ht="17.25" customHeight="1">
      <c r="A425" s="40"/>
      <c r="B425" s="199">
        <f>SUM(B423:B424)</f>
        <v>20</v>
      </c>
      <c r="C425" s="199"/>
      <c r="D425" s="199"/>
      <c r="E425" s="199">
        <f>SUM(E423:E424)</f>
        <v>1508</v>
      </c>
      <c r="F425" s="192"/>
      <c r="G425" s="192"/>
    </row>
    <row r="426" spans="1:7" ht="17.25" customHeight="1">
      <c r="A426" s="331" t="s">
        <v>217</v>
      </c>
      <c r="B426" s="332"/>
      <c r="C426" s="333"/>
      <c r="D426" s="40"/>
      <c r="E426" s="39"/>
      <c r="F426" s="192"/>
      <c r="G426" s="192"/>
    </row>
    <row r="427" spans="1:7" ht="31.5" customHeight="1">
      <c r="A427" s="138">
        <v>1298</v>
      </c>
      <c r="B427" s="60">
        <v>28</v>
      </c>
      <c r="C427" s="200" t="s">
        <v>536</v>
      </c>
      <c r="D427" s="40" t="s">
        <v>538</v>
      </c>
      <c r="E427" s="105">
        <v>8400</v>
      </c>
      <c r="F427" s="192"/>
      <c r="G427" s="192"/>
    </row>
    <row r="428" spans="1:7" ht="17.25" customHeight="1">
      <c r="A428" s="137">
        <v>1299</v>
      </c>
      <c r="B428" s="91">
        <v>7</v>
      </c>
      <c r="C428" s="200" t="s">
        <v>537</v>
      </c>
      <c r="D428" s="40" t="s">
        <v>539</v>
      </c>
      <c r="E428" s="105">
        <v>3500</v>
      </c>
      <c r="F428" s="192"/>
      <c r="G428" s="192"/>
    </row>
    <row r="429" spans="1:7" ht="30.75" customHeight="1">
      <c r="A429" s="137">
        <v>1300</v>
      </c>
      <c r="B429" s="91">
        <v>9</v>
      </c>
      <c r="C429" s="232" t="s">
        <v>232</v>
      </c>
      <c r="D429" s="40" t="s">
        <v>540</v>
      </c>
      <c r="E429" s="105">
        <v>1120</v>
      </c>
      <c r="F429" s="192"/>
      <c r="G429" s="192"/>
    </row>
    <row r="430" spans="1:7" ht="27" customHeight="1">
      <c r="A430" s="137">
        <v>1301</v>
      </c>
      <c r="B430" s="91">
        <v>6</v>
      </c>
      <c r="C430" s="232" t="s">
        <v>241</v>
      </c>
      <c r="D430" s="40" t="s">
        <v>541</v>
      </c>
      <c r="E430" s="105">
        <v>1280</v>
      </c>
      <c r="F430" s="192"/>
      <c r="G430" s="192"/>
    </row>
    <row r="431" spans="1:7" ht="30" customHeight="1">
      <c r="A431" s="137">
        <v>1302</v>
      </c>
      <c r="B431" s="91">
        <v>8</v>
      </c>
      <c r="C431" s="232" t="s">
        <v>244</v>
      </c>
      <c r="D431" s="40" t="s">
        <v>542</v>
      </c>
      <c r="E431" s="105">
        <v>2175</v>
      </c>
      <c r="F431" s="192"/>
      <c r="G431" s="192"/>
    </row>
    <row r="432" spans="1:7" ht="17.25" customHeight="1">
      <c r="A432" s="138">
        <v>1296</v>
      </c>
      <c r="B432" s="60">
        <v>25</v>
      </c>
      <c r="C432" s="40" t="s">
        <v>218</v>
      </c>
      <c r="D432" s="106" t="s">
        <v>226</v>
      </c>
      <c r="E432" s="60">
        <v>1418</v>
      </c>
      <c r="F432" s="192"/>
      <c r="G432" s="192"/>
    </row>
    <row r="433" spans="1:7" ht="17.25" customHeight="1">
      <c r="A433" s="233">
        <v>1297</v>
      </c>
      <c r="B433" s="91">
        <v>11</v>
      </c>
      <c r="C433" s="40" t="s">
        <v>218</v>
      </c>
      <c r="D433" s="106" t="s">
        <v>439</v>
      </c>
      <c r="E433" s="91">
        <v>630</v>
      </c>
      <c r="F433" s="192"/>
      <c r="G433" s="192"/>
    </row>
    <row r="434" spans="1:7" ht="17.25" customHeight="1">
      <c r="A434" s="40"/>
      <c r="B434" s="199">
        <f>SUM(B427:B433)</f>
        <v>94</v>
      </c>
      <c r="C434" s="199"/>
      <c r="D434" s="199"/>
      <c r="E434" s="199">
        <f>SUM(E427:E433)</f>
        <v>18523</v>
      </c>
      <c r="F434" s="192"/>
      <c r="G434" s="192"/>
    </row>
    <row r="435" spans="1:7" ht="17.25" customHeight="1">
      <c r="A435" s="199" t="s">
        <v>14</v>
      </c>
      <c r="B435" s="126">
        <f>B425+B434</f>
        <v>114</v>
      </c>
      <c r="C435" s="126"/>
      <c r="D435" s="126"/>
      <c r="E435" s="126">
        <f>E425+E434</f>
        <v>20031</v>
      </c>
      <c r="F435" s="192"/>
      <c r="G435" s="192"/>
    </row>
    <row r="436" spans="1:7" ht="17.25" customHeight="1">
      <c r="A436" s="202"/>
      <c r="B436" s="127"/>
      <c r="C436" s="128"/>
      <c r="D436" s="126"/>
      <c r="E436" s="126"/>
      <c r="F436" s="192"/>
      <c r="G436" s="192"/>
    </row>
    <row r="437" spans="1:7" ht="28.5" customHeight="1">
      <c r="A437" s="325" t="s">
        <v>668</v>
      </c>
      <c r="B437" s="334"/>
      <c r="C437" s="334"/>
      <c r="D437" s="334"/>
      <c r="E437" s="334"/>
      <c r="F437" s="192"/>
      <c r="G437" s="192"/>
    </row>
    <row r="438" spans="1:7" ht="22.5" customHeight="1">
      <c r="A438" s="40" t="s">
        <v>212</v>
      </c>
      <c r="B438" s="40" t="s">
        <v>213</v>
      </c>
      <c r="C438" s="40" t="s">
        <v>214</v>
      </c>
      <c r="D438" s="40" t="s">
        <v>215</v>
      </c>
      <c r="E438" s="39" t="s">
        <v>216</v>
      </c>
      <c r="F438" s="192"/>
      <c r="G438" s="192"/>
    </row>
    <row r="439" spans="1:7" ht="17.25" customHeight="1">
      <c r="A439" s="331" t="s">
        <v>217</v>
      </c>
      <c r="B439" s="332"/>
      <c r="C439" s="333"/>
      <c r="D439" s="199"/>
      <c r="E439" s="202"/>
      <c r="F439" s="192"/>
      <c r="G439" s="192"/>
    </row>
    <row r="440" spans="1:7" ht="17.25" customHeight="1">
      <c r="A440" s="234">
        <v>116</v>
      </c>
      <c r="B440" s="235">
        <v>8</v>
      </c>
      <c r="C440" s="236" t="s">
        <v>409</v>
      </c>
      <c r="D440" s="237" t="s">
        <v>546</v>
      </c>
      <c r="E440" s="238">
        <v>904</v>
      </c>
      <c r="F440" s="192"/>
      <c r="G440" s="192"/>
    </row>
    <row r="441" spans="1:7" ht="35.25" customHeight="1">
      <c r="A441" s="112">
        <v>117</v>
      </c>
      <c r="B441" s="113">
        <v>23</v>
      </c>
      <c r="C441" s="125" t="s">
        <v>241</v>
      </c>
      <c r="D441" s="118" t="s">
        <v>543</v>
      </c>
      <c r="E441" s="117">
        <v>4905</v>
      </c>
      <c r="F441" s="192"/>
      <c r="G441" s="192"/>
    </row>
    <row r="442" spans="1:7" ht="17.25" customHeight="1">
      <c r="A442" s="112">
        <v>111</v>
      </c>
      <c r="B442" s="113">
        <v>25</v>
      </c>
      <c r="C442" s="114" t="s">
        <v>218</v>
      </c>
      <c r="D442" s="118" t="s">
        <v>226</v>
      </c>
      <c r="E442" s="117">
        <v>1122</v>
      </c>
      <c r="F442" s="192"/>
      <c r="G442" s="192"/>
    </row>
    <row r="443" spans="1:7" ht="17.25" customHeight="1">
      <c r="A443" s="113">
        <v>112</v>
      </c>
      <c r="B443" s="113">
        <v>16</v>
      </c>
      <c r="C443" s="114" t="s">
        <v>218</v>
      </c>
      <c r="D443" s="118" t="s">
        <v>544</v>
      </c>
      <c r="E443" s="114">
        <v>732</v>
      </c>
      <c r="F443" s="192"/>
      <c r="G443" s="192"/>
    </row>
    <row r="444" spans="1:7" ht="17.25" customHeight="1">
      <c r="A444" s="112">
        <v>113</v>
      </c>
      <c r="B444" s="113">
        <v>25</v>
      </c>
      <c r="C444" s="114" t="s">
        <v>218</v>
      </c>
      <c r="D444" s="118" t="s">
        <v>226</v>
      </c>
      <c r="E444" s="105">
        <v>1122</v>
      </c>
      <c r="F444" s="192"/>
      <c r="G444" s="192"/>
    </row>
    <row r="445" spans="1:7" ht="17.25" customHeight="1">
      <c r="A445" s="113">
        <v>114</v>
      </c>
      <c r="B445" s="113">
        <v>25</v>
      </c>
      <c r="C445" s="114" t="s">
        <v>218</v>
      </c>
      <c r="D445" s="118" t="s">
        <v>226</v>
      </c>
      <c r="E445" s="105">
        <v>1132</v>
      </c>
      <c r="F445" s="192"/>
      <c r="G445" s="192"/>
    </row>
    <row r="446" spans="1:7" ht="17.25" customHeight="1">
      <c r="A446" s="113">
        <v>115</v>
      </c>
      <c r="B446" s="113">
        <v>10</v>
      </c>
      <c r="C446" s="114" t="s">
        <v>218</v>
      </c>
      <c r="D446" s="118" t="s">
        <v>545</v>
      </c>
      <c r="E446" s="105">
        <v>449</v>
      </c>
      <c r="F446" s="192"/>
      <c r="G446" s="192"/>
    </row>
    <row r="447" spans="1:7" ht="17.25" customHeight="1">
      <c r="A447" s="193"/>
      <c r="B447" s="195">
        <f>SUM(B440:B446)</f>
        <v>132</v>
      </c>
      <c r="C447" s="195"/>
      <c r="D447" s="195"/>
      <c r="E447" s="195">
        <f>SUM(E440:E446)</f>
        <v>10366</v>
      </c>
      <c r="F447" s="192"/>
      <c r="G447" s="192"/>
    </row>
    <row r="448" spans="1:7" ht="17.25" customHeight="1">
      <c r="A448" s="199" t="s">
        <v>14</v>
      </c>
      <c r="B448" s="126">
        <f>SUM(B440:B446)</f>
        <v>132</v>
      </c>
      <c r="C448" s="126"/>
      <c r="D448" s="126"/>
      <c r="E448" s="126">
        <f>SUM(E440:E446)</f>
        <v>10366</v>
      </c>
      <c r="F448" s="192"/>
      <c r="G448" s="192"/>
    </row>
    <row r="449" spans="1:7" ht="17.25" customHeight="1">
      <c r="A449" s="202"/>
      <c r="B449" s="127"/>
      <c r="C449" s="128"/>
      <c r="D449" s="126"/>
      <c r="E449" s="126"/>
      <c r="F449" s="192"/>
      <c r="G449" s="192"/>
    </row>
    <row r="450" spans="1:7" ht="29.25" customHeight="1">
      <c r="A450" s="325" t="s">
        <v>669</v>
      </c>
      <c r="B450" s="334"/>
      <c r="C450" s="334"/>
      <c r="D450" s="334"/>
      <c r="E450" s="334"/>
      <c r="F450" s="192"/>
      <c r="G450" s="192"/>
    </row>
    <row r="451" spans="1:7" ht="25.5" customHeight="1">
      <c r="A451" s="40" t="s">
        <v>212</v>
      </c>
      <c r="B451" s="40" t="s">
        <v>213</v>
      </c>
      <c r="C451" s="40" t="s">
        <v>214</v>
      </c>
      <c r="D451" s="40" t="s">
        <v>215</v>
      </c>
      <c r="E451" s="39" t="s">
        <v>216</v>
      </c>
      <c r="F451" s="192"/>
      <c r="G451" s="192"/>
    </row>
    <row r="452" spans="1:7" ht="17.25" customHeight="1">
      <c r="A452" s="331" t="s">
        <v>223</v>
      </c>
      <c r="B452" s="332"/>
      <c r="C452" s="333"/>
      <c r="D452" s="40"/>
      <c r="E452" s="39"/>
      <c r="F452" s="192"/>
      <c r="G452" s="192"/>
    </row>
    <row r="453" spans="1:8" s="194" customFormat="1" ht="27" customHeight="1">
      <c r="A453" s="70">
        <v>1407</v>
      </c>
      <c r="B453" s="91">
        <v>25</v>
      </c>
      <c r="C453" s="91" t="s">
        <v>225</v>
      </c>
      <c r="D453" s="70" t="s">
        <v>547</v>
      </c>
      <c r="E453" s="70">
        <v>1889</v>
      </c>
      <c r="F453" s="192"/>
      <c r="G453" s="192"/>
      <c r="H453" s="100"/>
    </row>
    <row r="454" spans="1:8" s="194" customFormat="1" ht="46.5" customHeight="1">
      <c r="A454" s="70">
        <v>1408</v>
      </c>
      <c r="B454" s="91">
        <v>25</v>
      </c>
      <c r="C454" s="91" t="s">
        <v>225</v>
      </c>
      <c r="D454" s="70" t="s">
        <v>554</v>
      </c>
      <c r="E454" s="40">
        <v>1872</v>
      </c>
      <c r="F454" s="192"/>
      <c r="G454" s="192"/>
      <c r="H454" s="100"/>
    </row>
    <row r="455" spans="1:8" s="194" customFormat="1" ht="27" customHeight="1">
      <c r="A455" s="70">
        <v>1409</v>
      </c>
      <c r="B455" s="91">
        <v>25</v>
      </c>
      <c r="C455" s="91" t="s">
        <v>225</v>
      </c>
      <c r="D455" s="40" t="s">
        <v>548</v>
      </c>
      <c r="E455" s="40">
        <v>1911</v>
      </c>
      <c r="F455" s="192"/>
      <c r="G455" s="192"/>
      <c r="H455" s="100"/>
    </row>
    <row r="456" spans="1:8" s="194" customFormat="1" ht="27" customHeight="1">
      <c r="A456" s="70">
        <v>1410</v>
      </c>
      <c r="B456" s="91">
        <v>25</v>
      </c>
      <c r="C456" s="91" t="s">
        <v>225</v>
      </c>
      <c r="D456" s="40" t="s">
        <v>549</v>
      </c>
      <c r="E456" s="40">
        <v>1867</v>
      </c>
      <c r="F456" s="192"/>
      <c r="G456" s="192"/>
      <c r="H456" s="100"/>
    </row>
    <row r="457" spans="1:8" s="194" customFormat="1" ht="42.75" customHeight="1">
      <c r="A457" s="70">
        <v>1411</v>
      </c>
      <c r="B457" s="91">
        <v>25</v>
      </c>
      <c r="C457" s="91" t="s">
        <v>225</v>
      </c>
      <c r="D457" s="40" t="s">
        <v>550</v>
      </c>
      <c r="E457" s="40">
        <v>1867</v>
      </c>
      <c r="F457" s="192"/>
      <c r="G457" s="192"/>
      <c r="H457" s="100"/>
    </row>
    <row r="458" spans="1:8" s="194" customFormat="1" ht="27" customHeight="1">
      <c r="A458" s="70">
        <v>1412</v>
      </c>
      <c r="B458" s="91">
        <v>25</v>
      </c>
      <c r="C458" s="91" t="s">
        <v>225</v>
      </c>
      <c r="D458" s="40" t="s">
        <v>551</v>
      </c>
      <c r="E458" s="40">
        <v>1911</v>
      </c>
      <c r="F458" s="192"/>
      <c r="G458" s="192"/>
      <c r="H458" s="100"/>
    </row>
    <row r="459" spans="1:8" s="194" customFormat="1" ht="27" customHeight="1">
      <c r="A459" s="70">
        <v>1413</v>
      </c>
      <c r="B459" s="91">
        <v>13</v>
      </c>
      <c r="C459" s="91" t="s">
        <v>225</v>
      </c>
      <c r="D459" s="40" t="s">
        <v>552</v>
      </c>
      <c r="E459" s="40">
        <v>972</v>
      </c>
      <c r="F459" s="192"/>
      <c r="G459" s="192"/>
      <c r="H459" s="100"/>
    </row>
    <row r="460" spans="1:7" ht="17.25" customHeight="1">
      <c r="A460" s="40"/>
      <c r="B460" s="199">
        <f>SUM(B453:B459)</f>
        <v>163</v>
      </c>
      <c r="C460" s="199"/>
      <c r="D460" s="199"/>
      <c r="E460" s="199">
        <f>SUM(E453:E459)</f>
        <v>12289</v>
      </c>
      <c r="F460" s="192"/>
      <c r="G460" s="192"/>
    </row>
    <row r="461" spans="1:7" ht="17.25" customHeight="1">
      <c r="A461" s="331" t="s">
        <v>217</v>
      </c>
      <c r="B461" s="332"/>
      <c r="C461" s="333"/>
      <c r="D461" s="40"/>
      <c r="E461" s="39"/>
      <c r="F461" s="192"/>
      <c r="G461" s="192"/>
    </row>
    <row r="462" spans="1:7" ht="17.25" customHeight="1">
      <c r="A462" s="40">
        <v>1414</v>
      </c>
      <c r="B462" s="40">
        <v>15</v>
      </c>
      <c r="C462" s="200" t="s">
        <v>553</v>
      </c>
      <c r="D462" s="40" t="s">
        <v>555</v>
      </c>
      <c r="E462" s="40">
        <v>1648</v>
      </c>
      <c r="F462" s="192"/>
      <c r="G462" s="192"/>
    </row>
    <row r="463" spans="1:7" ht="17.25" customHeight="1">
      <c r="A463" s="40"/>
      <c r="B463" s="199">
        <f>SUM(B462:B462)</f>
        <v>15</v>
      </c>
      <c r="C463" s="199"/>
      <c r="D463" s="199"/>
      <c r="E463" s="199">
        <f>SUM(E462:E462)</f>
        <v>1648</v>
      </c>
      <c r="F463" s="192"/>
      <c r="G463" s="192"/>
    </row>
    <row r="464" spans="1:7" ht="17.25" customHeight="1">
      <c r="A464" s="199" t="s">
        <v>14</v>
      </c>
      <c r="B464" s="126">
        <f>B460+B463</f>
        <v>178</v>
      </c>
      <c r="C464" s="126"/>
      <c r="D464" s="126"/>
      <c r="E464" s="126">
        <f>E460+E463</f>
        <v>13937</v>
      </c>
      <c r="F464" s="192"/>
      <c r="G464" s="192"/>
    </row>
    <row r="465" spans="1:7" ht="17.25" customHeight="1">
      <c r="A465" s="202"/>
      <c r="B465" s="127"/>
      <c r="C465" s="128"/>
      <c r="D465" s="126"/>
      <c r="E465" s="126"/>
      <c r="F465" s="192"/>
      <c r="G465" s="192"/>
    </row>
    <row r="466" spans="1:7" ht="26.25" customHeight="1">
      <c r="A466" s="325" t="s">
        <v>670</v>
      </c>
      <c r="B466" s="334"/>
      <c r="C466" s="334"/>
      <c r="D466" s="334"/>
      <c r="E466" s="334"/>
      <c r="F466" s="192"/>
      <c r="G466" s="192"/>
    </row>
    <row r="467" spans="1:7" ht="28.5" customHeight="1">
      <c r="A467" s="40" t="s">
        <v>212</v>
      </c>
      <c r="B467" s="40" t="s">
        <v>213</v>
      </c>
      <c r="C467" s="40" t="s">
        <v>214</v>
      </c>
      <c r="D467" s="40" t="s">
        <v>215</v>
      </c>
      <c r="E467" s="39" t="s">
        <v>216</v>
      </c>
      <c r="F467" s="192"/>
      <c r="G467" s="192"/>
    </row>
    <row r="468" spans="1:7" ht="17.25" customHeight="1">
      <c r="A468" s="331" t="s">
        <v>223</v>
      </c>
      <c r="B468" s="332"/>
      <c r="C468" s="333"/>
      <c r="D468" s="40"/>
      <c r="E468" s="39"/>
      <c r="F468" s="192"/>
      <c r="G468" s="192"/>
    </row>
    <row r="469" spans="1:7" ht="17.25" customHeight="1">
      <c r="A469" s="60" t="s">
        <v>556</v>
      </c>
      <c r="B469" s="60">
        <v>11</v>
      </c>
      <c r="C469" s="60" t="s">
        <v>224</v>
      </c>
      <c r="D469" s="106" t="s">
        <v>557</v>
      </c>
      <c r="E469" s="180">
        <v>653.7</v>
      </c>
      <c r="F469" s="192"/>
      <c r="G469" s="192"/>
    </row>
    <row r="470" spans="1:7" ht="17.25" customHeight="1">
      <c r="A470" s="60" t="s">
        <v>558</v>
      </c>
      <c r="B470" s="60">
        <v>3</v>
      </c>
      <c r="C470" s="60" t="s">
        <v>218</v>
      </c>
      <c r="D470" s="106" t="s">
        <v>559</v>
      </c>
      <c r="E470" s="180">
        <v>235.05</v>
      </c>
      <c r="F470" s="192"/>
      <c r="G470" s="192"/>
    </row>
    <row r="471" spans="1:7" ht="17.25" customHeight="1">
      <c r="A471" s="60" t="s">
        <v>560</v>
      </c>
      <c r="B471" s="60">
        <v>1</v>
      </c>
      <c r="C471" s="40" t="s">
        <v>565</v>
      </c>
      <c r="D471" s="106" t="s">
        <v>566</v>
      </c>
      <c r="E471" s="180">
        <v>50</v>
      </c>
      <c r="F471" s="192"/>
      <c r="G471" s="192"/>
    </row>
    <row r="472" spans="1:7" ht="17.25" customHeight="1">
      <c r="A472" s="40"/>
      <c r="B472" s="199">
        <f>SUM(B469:B471)</f>
        <v>15</v>
      </c>
      <c r="C472" s="199"/>
      <c r="D472" s="199"/>
      <c r="E472" s="199">
        <f>SUM(E469:E471)</f>
        <v>938.75</v>
      </c>
      <c r="F472" s="192"/>
      <c r="G472" s="192"/>
    </row>
    <row r="473" spans="1:7" ht="17.25" customHeight="1">
      <c r="A473" s="331" t="s">
        <v>217</v>
      </c>
      <c r="B473" s="332"/>
      <c r="C473" s="333"/>
      <c r="D473" s="40"/>
      <c r="E473" s="39"/>
      <c r="F473" s="192"/>
      <c r="G473" s="192"/>
    </row>
    <row r="474" spans="1:7" ht="17.25" customHeight="1">
      <c r="A474" s="60" t="s">
        <v>561</v>
      </c>
      <c r="B474" s="60">
        <v>5</v>
      </c>
      <c r="C474" s="40" t="s">
        <v>224</v>
      </c>
      <c r="D474" s="106" t="s">
        <v>562</v>
      </c>
      <c r="E474" s="180">
        <v>300</v>
      </c>
      <c r="F474" s="192"/>
      <c r="G474" s="192"/>
    </row>
    <row r="475" spans="1:7" ht="17.25" customHeight="1">
      <c r="A475" s="60" t="s">
        <v>563</v>
      </c>
      <c r="B475" s="60">
        <v>5</v>
      </c>
      <c r="C475" s="40" t="s">
        <v>570</v>
      </c>
      <c r="D475" s="106" t="s">
        <v>568</v>
      </c>
      <c r="E475" s="180">
        <v>304</v>
      </c>
      <c r="F475" s="192"/>
      <c r="G475" s="192"/>
    </row>
    <row r="476" spans="1:7" ht="17.25" customHeight="1">
      <c r="A476" s="60" t="s">
        <v>564</v>
      </c>
      <c r="B476" s="60">
        <v>4</v>
      </c>
      <c r="C476" s="40" t="s">
        <v>567</v>
      </c>
      <c r="D476" s="106" t="s">
        <v>569</v>
      </c>
      <c r="E476" s="180">
        <v>165</v>
      </c>
      <c r="F476" s="192"/>
      <c r="G476" s="192"/>
    </row>
    <row r="477" spans="1:7" ht="17.25" customHeight="1">
      <c r="A477" s="40"/>
      <c r="B477" s="199">
        <f>SUM(B474:B476)</f>
        <v>14</v>
      </c>
      <c r="C477" s="199"/>
      <c r="D477" s="199"/>
      <c r="E477" s="199">
        <f>SUM(E474:E476)</f>
        <v>769</v>
      </c>
      <c r="F477" s="192"/>
      <c r="G477" s="192"/>
    </row>
    <row r="478" spans="1:7" ht="17.25" customHeight="1">
      <c r="A478" s="199" t="s">
        <v>14</v>
      </c>
      <c r="B478" s="126">
        <f>B472+B477</f>
        <v>29</v>
      </c>
      <c r="C478" s="126"/>
      <c r="D478" s="126"/>
      <c r="E478" s="126">
        <f>E472+E477</f>
        <v>1707.75</v>
      </c>
      <c r="F478" s="192"/>
      <c r="G478" s="192"/>
    </row>
    <row r="479" spans="1:7" ht="17.25" customHeight="1">
      <c r="A479" s="202"/>
      <c r="B479" s="127"/>
      <c r="C479" s="128"/>
      <c r="D479" s="126"/>
      <c r="E479" s="126"/>
      <c r="F479" s="192"/>
      <c r="G479" s="192"/>
    </row>
    <row r="480" spans="1:7" ht="26.25" customHeight="1">
      <c r="A480" s="325" t="s">
        <v>671</v>
      </c>
      <c r="B480" s="334"/>
      <c r="C480" s="334"/>
      <c r="D480" s="334"/>
      <c r="E480" s="334"/>
      <c r="F480" s="192"/>
      <c r="G480" s="192"/>
    </row>
    <row r="481" spans="1:7" ht="26.25" customHeight="1">
      <c r="A481" s="40" t="s">
        <v>212</v>
      </c>
      <c r="B481" s="40" t="s">
        <v>213</v>
      </c>
      <c r="C481" s="40" t="s">
        <v>214</v>
      </c>
      <c r="D481" s="40" t="s">
        <v>215</v>
      </c>
      <c r="E481" s="39" t="s">
        <v>216</v>
      </c>
      <c r="F481" s="192"/>
      <c r="G481" s="192"/>
    </row>
    <row r="482" spans="1:7" ht="17.25" customHeight="1">
      <c r="A482" s="331" t="s">
        <v>223</v>
      </c>
      <c r="B482" s="332"/>
      <c r="C482" s="333"/>
      <c r="D482" s="40"/>
      <c r="E482" s="39"/>
      <c r="F482" s="192"/>
      <c r="G482" s="192"/>
    </row>
    <row r="483" spans="1:7" ht="17.25" customHeight="1">
      <c r="A483" s="239">
        <v>581</v>
      </c>
      <c r="B483" s="106">
        <v>1</v>
      </c>
      <c r="C483" s="106" t="s">
        <v>225</v>
      </c>
      <c r="D483" s="106" t="s">
        <v>571</v>
      </c>
      <c r="E483" s="106">
        <v>85</v>
      </c>
      <c r="F483" s="192"/>
      <c r="G483" s="192"/>
    </row>
    <row r="484" spans="1:7" ht="17.25" customHeight="1">
      <c r="A484" s="60">
        <v>583</v>
      </c>
      <c r="B484" s="180">
        <v>2</v>
      </c>
      <c r="C484" s="180" t="s">
        <v>228</v>
      </c>
      <c r="D484" s="106" t="s">
        <v>572</v>
      </c>
      <c r="E484" s="180">
        <v>223</v>
      </c>
      <c r="F484" s="192"/>
      <c r="G484" s="192"/>
    </row>
    <row r="485" spans="1:7" ht="17.25" customHeight="1">
      <c r="A485" s="40"/>
      <c r="B485" s="199">
        <f>SUM(B483:B484)</f>
        <v>3</v>
      </c>
      <c r="C485" s="199"/>
      <c r="D485" s="199"/>
      <c r="E485" s="199">
        <f>SUM(E483:E484)</f>
        <v>308</v>
      </c>
      <c r="F485" s="192"/>
      <c r="G485" s="192"/>
    </row>
    <row r="486" spans="1:7" ht="17.25" customHeight="1">
      <c r="A486" s="331" t="s">
        <v>217</v>
      </c>
      <c r="B486" s="332"/>
      <c r="C486" s="333"/>
      <c r="D486" s="40"/>
      <c r="E486" s="39"/>
      <c r="F486" s="192"/>
      <c r="G486" s="192"/>
    </row>
    <row r="487" spans="1:7" ht="17.25" customHeight="1">
      <c r="A487" s="60">
        <v>590</v>
      </c>
      <c r="B487" s="240">
        <v>3</v>
      </c>
      <c r="C487" s="241" t="s">
        <v>576</v>
      </c>
      <c r="D487" s="180" t="s">
        <v>573</v>
      </c>
      <c r="E487" s="180">
        <v>183</v>
      </c>
      <c r="F487" s="192"/>
      <c r="G487" s="192"/>
    </row>
    <row r="488" spans="1:7" ht="17.25" customHeight="1">
      <c r="A488" s="60">
        <v>584</v>
      </c>
      <c r="B488" s="180">
        <v>2</v>
      </c>
      <c r="C488" s="133" t="s">
        <v>244</v>
      </c>
      <c r="D488" s="106" t="s">
        <v>574</v>
      </c>
      <c r="E488" s="180">
        <v>555</v>
      </c>
      <c r="F488" s="192"/>
      <c r="G488" s="192"/>
    </row>
    <row r="489" spans="1:7" ht="17.25" customHeight="1">
      <c r="A489" s="60">
        <v>585</v>
      </c>
      <c r="B489" s="180">
        <v>10</v>
      </c>
      <c r="C489" s="133" t="s">
        <v>577</v>
      </c>
      <c r="D489" s="106" t="s">
        <v>582</v>
      </c>
      <c r="E489" s="180">
        <v>1500</v>
      </c>
      <c r="F489" s="192"/>
      <c r="G489" s="192"/>
    </row>
    <row r="490" spans="1:7" ht="17.25" customHeight="1">
      <c r="A490" s="60">
        <v>586</v>
      </c>
      <c r="B490" s="180">
        <v>20</v>
      </c>
      <c r="C490" s="133" t="s">
        <v>578</v>
      </c>
      <c r="D490" s="106" t="s">
        <v>583</v>
      </c>
      <c r="E490" s="180">
        <v>2100</v>
      </c>
      <c r="F490" s="192"/>
      <c r="G490" s="192"/>
    </row>
    <row r="491" spans="1:7" ht="17.25" customHeight="1">
      <c r="A491" s="60">
        <v>588</v>
      </c>
      <c r="B491" s="180">
        <v>12</v>
      </c>
      <c r="C491" s="133" t="s">
        <v>579</v>
      </c>
      <c r="D491" s="106" t="s">
        <v>584</v>
      </c>
      <c r="E491" s="180">
        <v>1260</v>
      </c>
      <c r="F491" s="192"/>
      <c r="G491" s="192"/>
    </row>
    <row r="492" spans="1:7" ht="17.25" customHeight="1">
      <c r="A492" s="60">
        <v>589</v>
      </c>
      <c r="B492" s="180">
        <v>4</v>
      </c>
      <c r="C492" s="133" t="s">
        <v>241</v>
      </c>
      <c r="D492" s="106" t="s">
        <v>575</v>
      </c>
      <c r="E492" s="180">
        <v>835</v>
      </c>
      <c r="F492" s="192"/>
      <c r="G492" s="192"/>
    </row>
    <row r="493" spans="1:7" ht="17.25" customHeight="1">
      <c r="A493" s="60">
        <v>579</v>
      </c>
      <c r="B493" s="180">
        <v>20</v>
      </c>
      <c r="C493" s="180" t="s">
        <v>225</v>
      </c>
      <c r="D493" s="180" t="s">
        <v>580</v>
      </c>
      <c r="E493" s="180">
        <v>1200</v>
      </c>
      <c r="F493" s="192"/>
      <c r="G493" s="192"/>
    </row>
    <row r="494" spans="1:7" ht="17.25" customHeight="1">
      <c r="A494" s="60">
        <v>580</v>
      </c>
      <c r="B494" s="180">
        <v>2</v>
      </c>
      <c r="C494" s="180" t="s">
        <v>225</v>
      </c>
      <c r="D494" s="180" t="s">
        <v>304</v>
      </c>
      <c r="E494" s="180">
        <v>120</v>
      </c>
      <c r="F494" s="192"/>
      <c r="G494" s="192"/>
    </row>
    <row r="495" spans="1:7" ht="17.25" customHeight="1">
      <c r="A495" s="40">
        <v>582</v>
      </c>
      <c r="B495" s="180">
        <v>4</v>
      </c>
      <c r="C495" s="241" t="s">
        <v>576</v>
      </c>
      <c r="D495" s="180" t="s">
        <v>581</v>
      </c>
      <c r="E495" s="180">
        <v>180</v>
      </c>
      <c r="F495" s="192"/>
      <c r="G495" s="192"/>
    </row>
    <row r="496" spans="1:7" ht="17.25" customHeight="1">
      <c r="A496" s="60">
        <v>591</v>
      </c>
      <c r="B496" s="180">
        <v>2</v>
      </c>
      <c r="C496" s="180" t="s">
        <v>228</v>
      </c>
      <c r="D496" s="180" t="s">
        <v>304</v>
      </c>
      <c r="E496" s="180">
        <v>158</v>
      </c>
      <c r="F496" s="192"/>
      <c r="G496" s="192"/>
    </row>
    <row r="497" spans="1:7" ht="17.25" customHeight="1">
      <c r="A497" s="40"/>
      <c r="B497" s="199">
        <f>SUM(B487:B496)</f>
        <v>79</v>
      </c>
      <c r="C497" s="199"/>
      <c r="D497" s="199"/>
      <c r="E497" s="199">
        <f>SUM(E487:E496)</f>
        <v>8091</v>
      </c>
      <c r="F497" s="192"/>
      <c r="G497" s="192"/>
    </row>
    <row r="498" spans="1:7" ht="17.25" customHeight="1">
      <c r="A498" s="331" t="s">
        <v>230</v>
      </c>
      <c r="B498" s="332"/>
      <c r="C498" s="333"/>
      <c r="D498" s="199"/>
      <c r="E498" s="199"/>
      <c r="F498" s="192"/>
      <c r="G498" s="192"/>
    </row>
    <row r="499" spans="1:7" ht="17.25" customHeight="1">
      <c r="A499" s="60">
        <v>587</v>
      </c>
      <c r="B499" s="180">
        <v>3</v>
      </c>
      <c r="C499" s="180" t="s">
        <v>225</v>
      </c>
      <c r="D499" s="180" t="s">
        <v>240</v>
      </c>
      <c r="E499" s="180">
        <v>120</v>
      </c>
      <c r="F499" s="192"/>
      <c r="G499" s="192"/>
    </row>
    <row r="500" spans="1:7" ht="17.25" customHeight="1">
      <c r="A500" s="40"/>
      <c r="B500" s="199">
        <f>B499</f>
        <v>3</v>
      </c>
      <c r="C500" s="199"/>
      <c r="D500" s="199"/>
      <c r="E500" s="199">
        <f>E499</f>
        <v>120</v>
      </c>
      <c r="F500" s="192"/>
      <c r="G500" s="192"/>
    </row>
    <row r="501" spans="1:7" ht="17.25" customHeight="1">
      <c r="A501" s="199" t="s">
        <v>14</v>
      </c>
      <c r="B501" s="126">
        <f>B485+B497+B500</f>
        <v>85</v>
      </c>
      <c r="C501" s="126"/>
      <c r="D501" s="126"/>
      <c r="E501" s="126">
        <f>E485+E497+E500</f>
        <v>8519</v>
      </c>
      <c r="F501" s="192"/>
      <c r="G501" s="192"/>
    </row>
    <row r="502" spans="1:7" ht="17.25" customHeight="1">
      <c r="A502" s="202"/>
      <c r="B502" s="127"/>
      <c r="C502" s="128"/>
      <c r="D502" s="126"/>
      <c r="E502" s="126"/>
      <c r="F502" s="192"/>
      <c r="G502" s="192"/>
    </row>
    <row r="503" spans="1:7" ht="29.25" customHeight="1">
      <c r="A503" s="325" t="s">
        <v>672</v>
      </c>
      <c r="B503" s="334"/>
      <c r="C503" s="334"/>
      <c r="D503" s="334"/>
      <c r="E503" s="334"/>
      <c r="F503" s="192"/>
      <c r="G503" s="192"/>
    </row>
    <row r="504" spans="1:7" ht="23.25" customHeight="1">
      <c r="A504" s="40" t="s">
        <v>212</v>
      </c>
      <c r="B504" s="40" t="s">
        <v>213</v>
      </c>
      <c r="C504" s="40" t="s">
        <v>214</v>
      </c>
      <c r="D504" s="40" t="s">
        <v>215</v>
      </c>
      <c r="E504" s="39" t="s">
        <v>216</v>
      </c>
      <c r="F504" s="192"/>
      <c r="G504" s="192"/>
    </row>
    <row r="505" spans="1:7" ht="17.25" customHeight="1">
      <c r="A505" s="331" t="s">
        <v>223</v>
      </c>
      <c r="B505" s="332"/>
      <c r="C505" s="333"/>
      <c r="D505" s="40"/>
      <c r="E505" s="39"/>
      <c r="F505" s="192"/>
      <c r="G505" s="192"/>
    </row>
    <row r="506" spans="1:7" ht="17.25" customHeight="1">
      <c r="A506" s="40">
        <v>909</v>
      </c>
      <c r="B506" s="60">
        <v>8</v>
      </c>
      <c r="C506" s="60" t="s">
        <v>225</v>
      </c>
      <c r="D506" s="40" t="s">
        <v>586</v>
      </c>
      <c r="E506" s="40">
        <v>638</v>
      </c>
      <c r="F506" s="192"/>
      <c r="G506" s="192"/>
    </row>
    <row r="507" spans="1:7" ht="17.25" customHeight="1">
      <c r="A507" s="40">
        <v>910</v>
      </c>
      <c r="B507" s="40">
        <v>5</v>
      </c>
      <c r="C507" s="40" t="s">
        <v>228</v>
      </c>
      <c r="D507" s="40" t="s">
        <v>587</v>
      </c>
      <c r="E507" s="40">
        <v>481</v>
      </c>
      <c r="F507" s="192"/>
      <c r="G507" s="192"/>
    </row>
    <row r="508" spans="1:7" ht="17.25" customHeight="1">
      <c r="A508" s="40"/>
      <c r="B508" s="199">
        <f>SUM(B506:B507)</f>
        <v>13</v>
      </c>
      <c r="C508" s="199"/>
      <c r="D508" s="199"/>
      <c r="E508" s="199">
        <f>SUM(E506:E507)</f>
        <v>1119</v>
      </c>
      <c r="F508" s="192"/>
      <c r="G508" s="192"/>
    </row>
    <row r="509" spans="1:7" ht="17.25" customHeight="1">
      <c r="A509" s="331" t="s">
        <v>217</v>
      </c>
      <c r="B509" s="332"/>
      <c r="C509" s="333"/>
      <c r="D509" s="40"/>
      <c r="E509" s="39"/>
      <c r="F509" s="192"/>
      <c r="G509" s="192"/>
    </row>
    <row r="510" spans="1:7" ht="17.25" customHeight="1">
      <c r="A510" s="40">
        <v>915</v>
      </c>
      <c r="B510" s="60">
        <v>4</v>
      </c>
      <c r="C510" s="133" t="s">
        <v>409</v>
      </c>
      <c r="D510" s="40" t="s">
        <v>588</v>
      </c>
      <c r="E510" s="40">
        <v>419</v>
      </c>
      <c r="F510" s="192"/>
      <c r="G510" s="192"/>
    </row>
    <row r="511" spans="1:7" ht="17.25" customHeight="1">
      <c r="A511" s="40">
        <v>916</v>
      </c>
      <c r="B511" s="60">
        <v>11</v>
      </c>
      <c r="C511" s="133" t="s">
        <v>232</v>
      </c>
      <c r="D511" s="40" t="s">
        <v>589</v>
      </c>
      <c r="E511" s="60">
        <v>1320</v>
      </c>
      <c r="F511" s="192"/>
      <c r="G511" s="192"/>
    </row>
    <row r="512" spans="1:7" ht="17.25" customHeight="1">
      <c r="A512" s="40">
        <v>917</v>
      </c>
      <c r="B512" s="40">
        <v>13</v>
      </c>
      <c r="C512" s="200" t="s">
        <v>241</v>
      </c>
      <c r="D512" s="40" t="s">
        <v>590</v>
      </c>
      <c r="E512" s="60">
        <v>2735</v>
      </c>
      <c r="F512" s="192"/>
      <c r="G512" s="192"/>
    </row>
    <row r="513" spans="1:7" ht="17.25" customHeight="1">
      <c r="A513" s="40">
        <v>918</v>
      </c>
      <c r="B513" s="60">
        <v>6</v>
      </c>
      <c r="C513" s="133" t="s">
        <v>244</v>
      </c>
      <c r="D513" s="70" t="s">
        <v>591</v>
      </c>
      <c r="E513" s="60">
        <v>1455</v>
      </c>
      <c r="F513" s="192"/>
      <c r="G513" s="192"/>
    </row>
    <row r="514" spans="1:7" ht="17.25" customHeight="1">
      <c r="A514" s="40">
        <v>911</v>
      </c>
      <c r="B514" s="60">
        <v>2</v>
      </c>
      <c r="C514" s="60" t="s">
        <v>224</v>
      </c>
      <c r="D514" s="106" t="s">
        <v>304</v>
      </c>
      <c r="E514" s="40">
        <v>106</v>
      </c>
      <c r="F514" s="192"/>
      <c r="G514" s="192"/>
    </row>
    <row r="515" spans="1:7" ht="17.25" customHeight="1">
      <c r="A515" s="40">
        <v>912</v>
      </c>
      <c r="B515" s="40">
        <v>16</v>
      </c>
      <c r="C515" s="40" t="s">
        <v>225</v>
      </c>
      <c r="D515" s="106" t="s">
        <v>602</v>
      </c>
      <c r="E515" s="40">
        <v>862</v>
      </c>
      <c r="F515" s="192"/>
      <c r="G515" s="192"/>
    </row>
    <row r="516" spans="1:7" ht="17.25" customHeight="1">
      <c r="A516" s="40">
        <v>913</v>
      </c>
      <c r="B516" s="40">
        <v>4</v>
      </c>
      <c r="C516" s="40" t="s">
        <v>228</v>
      </c>
      <c r="D516" s="106" t="s">
        <v>581</v>
      </c>
      <c r="E516" s="60">
        <v>332</v>
      </c>
      <c r="F516" s="192"/>
      <c r="G516" s="192"/>
    </row>
    <row r="517" spans="1:7" ht="17.25" customHeight="1">
      <c r="A517" s="40">
        <v>914</v>
      </c>
      <c r="B517" s="60">
        <v>6</v>
      </c>
      <c r="C517" s="133" t="s">
        <v>232</v>
      </c>
      <c r="D517" s="106" t="s">
        <v>592</v>
      </c>
      <c r="E517" s="60">
        <v>637</v>
      </c>
      <c r="F517" s="192"/>
      <c r="G517" s="192"/>
    </row>
    <row r="518" spans="1:7" ht="17.25" customHeight="1">
      <c r="A518" s="40"/>
      <c r="B518" s="199">
        <f>SUM(B510:B517)</f>
        <v>62</v>
      </c>
      <c r="C518" s="199"/>
      <c r="D518" s="199"/>
      <c r="E518" s="199">
        <f>SUM(E510:E517)</f>
        <v>7866</v>
      </c>
      <c r="F518" s="192"/>
      <c r="G518" s="192"/>
    </row>
    <row r="519" spans="1:7" ht="17.25" customHeight="1">
      <c r="A519" s="199" t="s">
        <v>14</v>
      </c>
      <c r="B519" s="126">
        <f>B508+B518</f>
        <v>75</v>
      </c>
      <c r="C519" s="126"/>
      <c r="D519" s="126"/>
      <c r="E519" s="126">
        <f>E508+E518</f>
        <v>8985</v>
      </c>
      <c r="F519" s="192"/>
      <c r="G519" s="192"/>
    </row>
    <row r="520" spans="1:7" ht="17.25" customHeight="1">
      <c r="A520" s="227"/>
      <c r="B520" s="127"/>
      <c r="C520" s="128"/>
      <c r="D520" s="126"/>
      <c r="E520" s="126"/>
      <c r="F520" s="192"/>
      <c r="G520" s="192"/>
    </row>
    <row r="521" spans="1:7" ht="30" customHeight="1">
      <c r="A521" s="325" t="s">
        <v>673</v>
      </c>
      <c r="B521" s="334"/>
      <c r="C521" s="334"/>
      <c r="D521" s="334"/>
      <c r="E521" s="334"/>
      <c r="F521" s="192"/>
      <c r="G521" s="192"/>
    </row>
    <row r="522" spans="1:7" ht="24" customHeight="1">
      <c r="A522" s="40" t="s">
        <v>212</v>
      </c>
      <c r="B522" s="40" t="s">
        <v>213</v>
      </c>
      <c r="C522" s="40" t="s">
        <v>214</v>
      </c>
      <c r="D522" s="40" t="s">
        <v>215</v>
      </c>
      <c r="E522" s="39" t="s">
        <v>216</v>
      </c>
      <c r="F522" s="192"/>
      <c r="G522" s="192"/>
    </row>
    <row r="523" spans="1:7" ht="17.25" customHeight="1">
      <c r="A523" s="331" t="s">
        <v>223</v>
      </c>
      <c r="B523" s="332"/>
      <c r="C523" s="333"/>
      <c r="D523" s="40"/>
      <c r="E523" s="39"/>
      <c r="F523" s="192"/>
      <c r="G523" s="192"/>
    </row>
    <row r="524" spans="1:7" ht="17.25" customHeight="1">
      <c r="A524" s="45">
        <v>437</v>
      </c>
      <c r="B524" s="105">
        <v>14</v>
      </c>
      <c r="C524" s="105" t="s">
        <v>228</v>
      </c>
      <c r="D524" s="105" t="s">
        <v>615</v>
      </c>
      <c r="E524" s="105">
        <v>1605</v>
      </c>
      <c r="F524" s="192"/>
      <c r="G524" s="192"/>
    </row>
    <row r="525" spans="1:7" ht="17.25" customHeight="1">
      <c r="A525" s="45">
        <v>437</v>
      </c>
      <c r="B525" s="105">
        <v>1</v>
      </c>
      <c r="C525" s="105" t="s">
        <v>225</v>
      </c>
      <c r="D525" s="105" t="s">
        <v>611</v>
      </c>
      <c r="E525" s="105">
        <v>87</v>
      </c>
      <c r="F525" s="192"/>
      <c r="G525" s="192"/>
    </row>
    <row r="526" spans="1:7" ht="17.25" customHeight="1">
      <c r="A526" s="40"/>
      <c r="B526" s="226">
        <f>SUM(B524:B525)</f>
        <v>15</v>
      </c>
      <c r="C526" s="226"/>
      <c r="D526" s="226"/>
      <c r="E526" s="226">
        <f>SUM(E524:E525)</f>
        <v>1692</v>
      </c>
      <c r="F526" s="192"/>
      <c r="G526" s="192"/>
    </row>
    <row r="527" spans="1:7" ht="17.25" customHeight="1">
      <c r="A527" s="331" t="s">
        <v>217</v>
      </c>
      <c r="B527" s="332"/>
      <c r="C527" s="333"/>
      <c r="D527" s="40"/>
      <c r="E527" s="39"/>
      <c r="F527" s="192"/>
      <c r="G527" s="192"/>
    </row>
    <row r="528" spans="1:7" ht="17.25" customHeight="1">
      <c r="A528" s="45">
        <v>439</v>
      </c>
      <c r="B528" s="105">
        <v>1</v>
      </c>
      <c r="C528" s="109" t="s">
        <v>232</v>
      </c>
      <c r="D528" s="105" t="s">
        <v>612</v>
      </c>
      <c r="E528" s="105">
        <v>120</v>
      </c>
      <c r="F528" s="192"/>
      <c r="G528" s="192"/>
    </row>
    <row r="529" spans="1:7" ht="17.25" customHeight="1">
      <c r="A529" s="45">
        <v>439</v>
      </c>
      <c r="B529" s="105">
        <v>1</v>
      </c>
      <c r="C529" s="109" t="s">
        <v>241</v>
      </c>
      <c r="D529" s="105" t="s">
        <v>613</v>
      </c>
      <c r="E529" s="105">
        <v>231</v>
      </c>
      <c r="F529" s="192"/>
      <c r="G529" s="192"/>
    </row>
    <row r="530" spans="1:7" ht="17.25" customHeight="1">
      <c r="A530" s="45">
        <v>438</v>
      </c>
      <c r="B530" s="105">
        <v>5</v>
      </c>
      <c r="C530" s="105" t="s">
        <v>228</v>
      </c>
      <c r="D530" s="105" t="s">
        <v>303</v>
      </c>
      <c r="E530" s="244">
        <v>450</v>
      </c>
      <c r="F530" s="192"/>
      <c r="G530" s="192"/>
    </row>
    <row r="531" spans="1:7" ht="17.25" customHeight="1">
      <c r="A531" s="45">
        <v>438</v>
      </c>
      <c r="B531" s="105">
        <v>1</v>
      </c>
      <c r="C531" s="109" t="s">
        <v>232</v>
      </c>
      <c r="D531" s="105" t="s">
        <v>614</v>
      </c>
      <c r="E531" s="244">
        <v>104</v>
      </c>
      <c r="F531" s="192"/>
      <c r="G531" s="192"/>
    </row>
    <row r="532" spans="1:7" ht="17.25" customHeight="1">
      <c r="A532" s="40"/>
      <c r="B532" s="226">
        <f>SUM(B528:B531)</f>
        <v>8</v>
      </c>
      <c r="C532" s="226"/>
      <c r="D532" s="226"/>
      <c r="E532" s="226">
        <f>SUM(E528:E531)</f>
        <v>905</v>
      </c>
      <c r="F532" s="192"/>
      <c r="G532" s="192"/>
    </row>
    <row r="533" spans="1:7" ht="17.25" customHeight="1">
      <c r="A533" s="226" t="s">
        <v>14</v>
      </c>
      <c r="B533" s="126">
        <f>B526+B532</f>
        <v>23</v>
      </c>
      <c r="C533" s="126"/>
      <c r="D533" s="126"/>
      <c r="E533" s="126">
        <f>E526+E532</f>
        <v>2597</v>
      </c>
      <c r="F533" s="192"/>
      <c r="G533" s="192"/>
    </row>
    <row r="534" spans="1:7" ht="17.25" customHeight="1">
      <c r="A534" s="230"/>
      <c r="B534" s="127"/>
      <c r="C534" s="128"/>
      <c r="D534" s="126"/>
      <c r="E534" s="126"/>
      <c r="F534" s="192"/>
      <c r="G534" s="192"/>
    </row>
    <row r="535" spans="1:7" ht="34.5" customHeight="1">
      <c r="A535" s="325" t="s">
        <v>674</v>
      </c>
      <c r="B535" s="334"/>
      <c r="C535" s="334"/>
      <c r="D535" s="334"/>
      <c r="E535" s="334"/>
      <c r="F535" s="192"/>
      <c r="G535" s="192"/>
    </row>
    <row r="536" spans="1:7" ht="24.75" customHeight="1">
      <c r="A536" s="23" t="s">
        <v>212</v>
      </c>
      <c r="B536" s="23" t="s">
        <v>213</v>
      </c>
      <c r="C536" s="23" t="s">
        <v>214</v>
      </c>
      <c r="D536" s="23" t="s">
        <v>215</v>
      </c>
      <c r="E536" s="87" t="s">
        <v>216</v>
      </c>
      <c r="F536" s="192"/>
      <c r="G536" s="192"/>
    </row>
    <row r="537" spans="1:7" ht="17.25" customHeight="1">
      <c r="A537" s="331" t="s">
        <v>217</v>
      </c>
      <c r="B537" s="332"/>
      <c r="C537" s="333"/>
      <c r="D537" s="40"/>
      <c r="E537" s="39"/>
      <c r="F537" s="192"/>
      <c r="G537" s="192"/>
    </row>
    <row r="538" spans="1:7" ht="17.25" customHeight="1">
      <c r="A538" s="60">
        <v>23115</v>
      </c>
      <c r="B538" s="60">
        <v>30</v>
      </c>
      <c r="C538" s="45" t="s">
        <v>225</v>
      </c>
      <c r="D538" s="245" t="s">
        <v>616</v>
      </c>
      <c r="E538" s="45">
        <v>2273</v>
      </c>
      <c r="F538" s="242">
        <f>SUM(B538:B542)</f>
        <v>150</v>
      </c>
      <c r="G538" s="192"/>
    </row>
    <row r="539" spans="1:7" ht="17.25" customHeight="1">
      <c r="A539" s="60">
        <v>23116</v>
      </c>
      <c r="B539" s="60">
        <v>30</v>
      </c>
      <c r="C539" s="45" t="s">
        <v>225</v>
      </c>
      <c r="D539" s="245" t="s">
        <v>617</v>
      </c>
      <c r="E539" s="45">
        <v>2254</v>
      </c>
      <c r="F539" s="242">
        <f>SUM(B543:B549)</f>
        <v>210</v>
      </c>
      <c r="G539" s="192"/>
    </row>
    <row r="540" spans="1:7" ht="17.25" customHeight="1">
      <c r="A540" s="60">
        <v>23117</v>
      </c>
      <c r="B540" s="60">
        <v>30</v>
      </c>
      <c r="C540" s="45" t="s">
        <v>225</v>
      </c>
      <c r="D540" s="245" t="s">
        <v>618</v>
      </c>
      <c r="E540" s="45">
        <v>2265</v>
      </c>
      <c r="F540" s="192"/>
      <c r="G540" s="192"/>
    </row>
    <row r="541" spans="1:7" ht="17.25" customHeight="1">
      <c r="A541" s="60">
        <v>23118</v>
      </c>
      <c r="B541" s="60">
        <v>30</v>
      </c>
      <c r="C541" s="45" t="s">
        <v>225</v>
      </c>
      <c r="D541" s="40" t="s">
        <v>619</v>
      </c>
      <c r="E541" s="40">
        <v>2257</v>
      </c>
      <c r="F541" s="192"/>
      <c r="G541" s="192"/>
    </row>
    <row r="542" spans="1:7" ht="17.25" customHeight="1">
      <c r="A542" s="60">
        <v>23119</v>
      </c>
      <c r="B542" s="60">
        <v>30</v>
      </c>
      <c r="C542" s="45" t="s">
        <v>225</v>
      </c>
      <c r="D542" s="40" t="s">
        <v>620</v>
      </c>
      <c r="E542" s="40">
        <v>2267</v>
      </c>
      <c r="F542" s="192"/>
      <c r="G542" s="192"/>
    </row>
    <row r="543" spans="1:7" ht="17.25" customHeight="1">
      <c r="A543" s="40">
        <v>23125</v>
      </c>
      <c r="B543" s="40">
        <v>30</v>
      </c>
      <c r="C543" s="40" t="s">
        <v>228</v>
      </c>
      <c r="D543" s="40" t="s">
        <v>621</v>
      </c>
      <c r="E543" s="40">
        <v>3018</v>
      </c>
      <c r="F543" s="192"/>
      <c r="G543" s="192"/>
    </row>
    <row r="544" spans="1:7" ht="17.25" customHeight="1">
      <c r="A544" s="40">
        <v>23126</v>
      </c>
      <c r="B544" s="40">
        <v>30</v>
      </c>
      <c r="C544" s="40" t="s">
        <v>228</v>
      </c>
      <c r="D544" s="40" t="s">
        <v>622</v>
      </c>
      <c r="E544" s="40">
        <v>2997</v>
      </c>
      <c r="F544" s="192"/>
      <c r="G544" s="192"/>
    </row>
    <row r="545" spans="1:7" ht="17.25" customHeight="1">
      <c r="A545" s="40">
        <v>23127</v>
      </c>
      <c r="B545" s="40">
        <v>30</v>
      </c>
      <c r="C545" s="40" t="s">
        <v>228</v>
      </c>
      <c r="D545" s="40" t="s">
        <v>623</v>
      </c>
      <c r="E545" s="40">
        <v>2947</v>
      </c>
      <c r="F545" s="192"/>
      <c r="G545" s="192"/>
    </row>
    <row r="546" spans="1:7" ht="17.25" customHeight="1">
      <c r="A546" s="40">
        <v>23128</v>
      </c>
      <c r="B546" s="40">
        <v>30</v>
      </c>
      <c r="C546" s="40" t="s">
        <v>228</v>
      </c>
      <c r="D546" s="40" t="s">
        <v>624</v>
      </c>
      <c r="E546" s="40">
        <v>3035</v>
      </c>
      <c r="F546" s="192"/>
      <c r="G546" s="192"/>
    </row>
    <row r="547" spans="1:7" ht="17.25" customHeight="1">
      <c r="A547" s="40">
        <v>23129</v>
      </c>
      <c r="B547" s="40">
        <v>30</v>
      </c>
      <c r="C547" s="40" t="s">
        <v>228</v>
      </c>
      <c r="D547" s="40" t="s">
        <v>625</v>
      </c>
      <c r="E547" s="40">
        <v>2909</v>
      </c>
      <c r="F547" s="192"/>
      <c r="G547" s="192"/>
    </row>
    <row r="548" spans="1:7" ht="17.25" customHeight="1">
      <c r="A548" s="40">
        <v>23130</v>
      </c>
      <c r="B548" s="40">
        <v>30</v>
      </c>
      <c r="C548" s="40" t="s">
        <v>228</v>
      </c>
      <c r="D548" s="40" t="s">
        <v>626</v>
      </c>
      <c r="E548" s="40">
        <v>2980</v>
      </c>
      <c r="F548" s="192"/>
      <c r="G548" s="192"/>
    </row>
    <row r="549" spans="1:7" ht="17.25" customHeight="1">
      <c r="A549" s="40">
        <v>23131</v>
      </c>
      <c r="B549" s="40">
        <v>30</v>
      </c>
      <c r="C549" s="40" t="s">
        <v>228</v>
      </c>
      <c r="D549" s="40" t="s">
        <v>627</v>
      </c>
      <c r="E549" s="40">
        <v>3034</v>
      </c>
      <c r="F549" s="192"/>
      <c r="G549" s="192"/>
    </row>
    <row r="550" spans="1:7" ht="17.25" customHeight="1">
      <c r="A550" s="40"/>
      <c r="B550" s="229">
        <f>SUM(B538:B549)</f>
        <v>360</v>
      </c>
      <c r="C550" s="229"/>
      <c r="D550" s="229"/>
      <c r="E550" s="229">
        <f>SUM(E538:E549)</f>
        <v>32236</v>
      </c>
      <c r="F550" s="192"/>
      <c r="G550" s="192"/>
    </row>
    <row r="551" spans="1:7" ht="17.25" customHeight="1">
      <c r="A551" s="229" t="s">
        <v>14</v>
      </c>
      <c r="B551" s="126">
        <f>B550</f>
        <v>360</v>
      </c>
      <c r="C551" s="126"/>
      <c r="D551" s="126"/>
      <c r="E551" s="126">
        <f>E550</f>
        <v>32236</v>
      </c>
      <c r="F551" s="192"/>
      <c r="G551" s="192"/>
    </row>
    <row r="552" spans="1:7" ht="17.25" customHeight="1">
      <c r="A552" s="230"/>
      <c r="B552" s="127"/>
      <c r="C552" s="128"/>
      <c r="D552" s="126"/>
      <c r="E552" s="126"/>
      <c r="F552" s="192"/>
      <c r="G552" s="192"/>
    </row>
    <row r="553" spans="1:7" ht="30.75" customHeight="1">
      <c r="A553" s="325" t="s">
        <v>675</v>
      </c>
      <c r="B553" s="334"/>
      <c r="C553" s="334"/>
      <c r="D553" s="334"/>
      <c r="E553" s="334"/>
      <c r="F553" s="192"/>
      <c r="G553" s="192"/>
    </row>
    <row r="554" spans="1:7" ht="27.75" customHeight="1">
      <c r="A554" s="23" t="s">
        <v>212</v>
      </c>
      <c r="B554" s="23" t="s">
        <v>213</v>
      </c>
      <c r="C554" s="23" t="s">
        <v>214</v>
      </c>
      <c r="D554" s="23" t="s">
        <v>215</v>
      </c>
      <c r="E554" s="87" t="s">
        <v>216</v>
      </c>
      <c r="F554" s="192"/>
      <c r="G554" s="192"/>
    </row>
    <row r="555" spans="1:7" ht="17.25" customHeight="1">
      <c r="A555" s="331" t="s">
        <v>217</v>
      </c>
      <c r="B555" s="332"/>
      <c r="C555" s="333"/>
      <c r="D555" s="40"/>
      <c r="E555" s="39"/>
      <c r="F555" s="192"/>
      <c r="G555" s="192"/>
    </row>
    <row r="556" spans="1:7" ht="17.25" customHeight="1">
      <c r="A556" s="60">
        <v>23120</v>
      </c>
      <c r="B556" s="60">
        <v>30</v>
      </c>
      <c r="C556" s="45" t="s">
        <v>225</v>
      </c>
      <c r="D556" s="40" t="s">
        <v>628</v>
      </c>
      <c r="E556" s="40">
        <v>2263</v>
      </c>
      <c r="F556" s="242">
        <f>SUM(B556:B560)</f>
        <v>140</v>
      </c>
      <c r="G556" s="192"/>
    </row>
    <row r="557" spans="1:7" ht="17.25" customHeight="1">
      <c r="A557" s="60">
        <v>23121</v>
      </c>
      <c r="B557" s="60">
        <v>30</v>
      </c>
      <c r="C557" s="45" t="s">
        <v>225</v>
      </c>
      <c r="D557" s="40" t="s">
        <v>629</v>
      </c>
      <c r="E557" s="40">
        <v>2269</v>
      </c>
      <c r="F557" s="242">
        <f>SUM(B561:B567)</f>
        <v>208</v>
      </c>
      <c r="G557" s="192"/>
    </row>
    <row r="558" spans="1:7" ht="17.25" customHeight="1">
      <c r="A558" s="60">
        <v>23122</v>
      </c>
      <c r="B558" s="60">
        <v>30</v>
      </c>
      <c r="C558" s="45" t="s">
        <v>225</v>
      </c>
      <c r="D558" s="40" t="s">
        <v>630</v>
      </c>
      <c r="E558" s="60">
        <v>2267</v>
      </c>
      <c r="F558" s="192"/>
      <c r="G558" s="192"/>
    </row>
    <row r="559" spans="1:7" ht="17.25" customHeight="1">
      <c r="A559" s="60">
        <v>23123</v>
      </c>
      <c r="B559" s="60">
        <v>30</v>
      </c>
      <c r="C559" s="45" t="s">
        <v>225</v>
      </c>
      <c r="D559" s="40" t="s">
        <v>631</v>
      </c>
      <c r="E559" s="60">
        <v>2255</v>
      </c>
      <c r="F559" s="192"/>
      <c r="G559" s="192"/>
    </row>
    <row r="560" spans="1:7" ht="17.25" customHeight="1">
      <c r="A560" s="60">
        <v>23124</v>
      </c>
      <c r="B560" s="60">
        <v>20</v>
      </c>
      <c r="C560" s="45" t="s">
        <v>225</v>
      </c>
      <c r="D560" s="60" t="s">
        <v>632</v>
      </c>
      <c r="E560" s="60">
        <v>1501</v>
      </c>
      <c r="F560" s="192"/>
      <c r="G560" s="192"/>
    </row>
    <row r="561" spans="1:7" ht="17.25" customHeight="1">
      <c r="A561" s="40">
        <v>23132</v>
      </c>
      <c r="B561" s="40">
        <v>30</v>
      </c>
      <c r="C561" s="40" t="s">
        <v>228</v>
      </c>
      <c r="D561" s="40" t="s">
        <v>633</v>
      </c>
      <c r="E561" s="40">
        <v>2901</v>
      </c>
      <c r="F561" s="192"/>
      <c r="G561" s="192"/>
    </row>
    <row r="562" spans="1:7" ht="17.25" customHeight="1">
      <c r="A562" s="40">
        <v>23133</v>
      </c>
      <c r="B562" s="40">
        <v>30</v>
      </c>
      <c r="C562" s="40" t="s">
        <v>228</v>
      </c>
      <c r="D562" s="40" t="s">
        <v>634</v>
      </c>
      <c r="E562" s="40">
        <v>2884</v>
      </c>
      <c r="F562" s="192"/>
      <c r="G562" s="192"/>
    </row>
    <row r="563" spans="1:7" ht="17.25" customHeight="1">
      <c r="A563" s="40">
        <v>23134</v>
      </c>
      <c r="B563" s="40">
        <v>30</v>
      </c>
      <c r="C563" s="40" t="s">
        <v>228</v>
      </c>
      <c r="D563" s="245" t="s">
        <v>635</v>
      </c>
      <c r="E563" s="40">
        <v>2877</v>
      </c>
      <c r="F563" s="192"/>
      <c r="G563" s="192"/>
    </row>
    <row r="564" spans="1:7" ht="17.25" customHeight="1">
      <c r="A564" s="40">
        <v>23135</v>
      </c>
      <c r="B564" s="40">
        <v>30</v>
      </c>
      <c r="C564" s="40" t="s">
        <v>228</v>
      </c>
      <c r="D564" s="40" t="s">
        <v>636</v>
      </c>
      <c r="E564" s="40">
        <v>2881</v>
      </c>
      <c r="F564" s="192"/>
      <c r="G564" s="192"/>
    </row>
    <row r="565" spans="1:7" ht="17.25" customHeight="1">
      <c r="A565" s="40">
        <v>23136</v>
      </c>
      <c r="B565" s="40">
        <v>30</v>
      </c>
      <c r="C565" s="40" t="s">
        <v>228</v>
      </c>
      <c r="D565" s="40" t="s">
        <v>637</v>
      </c>
      <c r="E565" s="40">
        <v>2928</v>
      </c>
      <c r="F565" s="192"/>
      <c r="G565" s="192"/>
    </row>
    <row r="566" spans="1:7" ht="17.25" customHeight="1">
      <c r="A566" s="40">
        <v>23137</v>
      </c>
      <c r="B566" s="40">
        <v>30</v>
      </c>
      <c r="C566" s="40" t="s">
        <v>228</v>
      </c>
      <c r="D566" s="60" t="s">
        <v>638</v>
      </c>
      <c r="E566" s="40">
        <v>2946</v>
      </c>
      <c r="F566" s="192"/>
      <c r="G566" s="192"/>
    </row>
    <row r="567" spans="1:7" ht="17.25" customHeight="1">
      <c r="A567" s="40">
        <v>23138</v>
      </c>
      <c r="B567" s="40">
        <v>28</v>
      </c>
      <c r="C567" s="40" t="s">
        <v>228</v>
      </c>
      <c r="D567" s="40" t="s">
        <v>639</v>
      </c>
      <c r="E567" s="40">
        <v>2751</v>
      </c>
      <c r="F567" s="192"/>
      <c r="G567" s="192"/>
    </row>
    <row r="568" spans="1:7" ht="17.25" customHeight="1">
      <c r="A568" s="40"/>
      <c r="B568" s="229">
        <f>SUM(B556:B567)</f>
        <v>348</v>
      </c>
      <c r="C568" s="229"/>
      <c r="D568" s="229"/>
      <c r="E568" s="229">
        <f>SUM(E556:E567)</f>
        <v>30723</v>
      </c>
      <c r="F568" s="192"/>
      <c r="G568" s="192"/>
    </row>
    <row r="569" spans="1:7" ht="17.25" customHeight="1">
      <c r="A569" s="229" t="s">
        <v>14</v>
      </c>
      <c r="B569" s="126">
        <f>B568</f>
        <v>348</v>
      </c>
      <c r="C569" s="126"/>
      <c r="D569" s="126"/>
      <c r="E569" s="126">
        <f>E568</f>
        <v>30723</v>
      </c>
      <c r="F569" s="192"/>
      <c r="G569" s="192"/>
    </row>
    <row r="570" spans="1:7" ht="17.25" customHeight="1">
      <c r="A570" s="250"/>
      <c r="B570" s="127"/>
      <c r="C570" s="128"/>
      <c r="D570" s="126"/>
      <c r="E570" s="126"/>
      <c r="F570" s="192"/>
      <c r="G570" s="192"/>
    </row>
    <row r="571" spans="1:7" ht="30.75" customHeight="1">
      <c r="A571" s="325" t="s">
        <v>676</v>
      </c>
      <c r="B571" s="334"/>
      <c r="C571" s="334"/>
      <c r="D571" s="334"/>
      <c r="E571" s="334"/>
      <c r="F571" s="192"/>
      <c r="G571" s="192"/>
    </row>
    <row r="572" spans="1:7" ht="26.25" customHeight="1">
      <c r="A572" s="40" t="s">
        <v>212</v>
      </c>
      <c r="B572" s="40" t="s">
        <v>213</v>
      </c>
      <c r="C572" s="40" t="s">
        <v>214</v>
      </c>
      <c r="D572" s="40" t="s">
        <v>215</v>
      </c>
      <c r="E572" s="39" t="s">
        <v>216</v>
      </c>
      <c r="F572" s="192"/>
      <c r="G572" s="192"/>
    </row>
    <row r="573" spans="1:7" ht="17.25" customHeight="1">
      <c r="A573" s="331" t="s">
        <v>223</v>
      </c>
      <c r="B573" s="332"/>
      <c r="C573" s="333"/>
      <c r="D573" s="40"/>
      <c r="E573" s="39"/>
      <c r="F573" s="192"/>
      <c r="G573" s="192"/>
    </row>
    <row r="574" spans="1:7" ht="17.25" customHeight="1">
      <c r="A574" s="268">
        <v>1303</v>
      </c>
      <c r="B574" s="252">
        <v>10</v>
      </c>
      <c r="C574" s="252" t="s">
        <v>218</v>
      </c>
      <c r="D574" s="251" t="s">
        <v>649</v>
      </c>
      <c r="E574" s="251">
        <v>792</v>
      </c>
      <c r="F574" s="192"/>
      <c r="G574" s="192"/>
    </row>
    <row r="575" spans="1:7" ht="17.25" customHeight="1">
      <c r="A575" s="40"/>
      <c r="B575" s="249">
        <f>SUM(B574:B574)</f>
        <v>10</v>
      </c>
      <c r="C575" s="249"/>
      <c r="D575" s="249"/>
      <c r="E575" s="249">
        <f>SUM(E574:E574)</f>
        <v>792</v>
      </c>
      <c r="F575" s="192"/>
      <c r="G575" s="192"/>
    </row>
    <row r="576" spans="1:7" ht="17.25" customHeight="1">
      <c r="A576" s="331" t="s">
        <v>217</v>
      </c>
      <c r="B576" s="332"/>
      <c r="C576" s="333"/>
      <c r="D576" s="40"/>
      <c r="E576" s="39"/>
      <c r="F576" s="192"/>
      <c r="G576" s="192"/>
    </row>
    <row r="577" spans="1:7" ht="17.25" customHeight="1">
      <c r="A577" s="269">
        <v>1304</v>
      </c>
      <c r="B577" s="253">
        <v>14</v>
      </c>
      <c r="C577" s="220" t="s">
        <v>218</v>
      </c>
      <c r="D577" s="254" t="s">
        <v>296</v>
      </c>
      <c r="E577" s="253">
        <v>797</v>
      </c>
      <c r="F577" s="192"/>
      <c r="G577" s="192"/>
    </row>
    <row r="578" spans="1:7" ht="17.25" customHeight="1">
      <c r="A578" s="40"/>
      <c r="B578" s="249">
        <f>SUM(B577:B577)</f>
        <v>14</v>
      </c>
      <c r="C578" s="249"/>
      <c r="D578" s="249"/>
      <c r="E578" s="249">
        <f>SUM(E577:E577)</f>
        <v>797</v>
      </c>
      <c r="F578" s="192"/>
      <c r="G578" s="192"/>
    </row>
    <row r="579" spans="1:7" ht="17.25" customHeight="1">
      <c r="A579" s="249" t="s">
        <v>14</v>
      </c>
      <c r="B579" s="126">
        <f>B575+B578</f>
        <v>24</v>
      </c>
      <c r="C579" s="126"/>
      <c r="D579" s="126"/>
      <c r="E579" s="126">
        <f>E575+E578</f>
        <v>1589</v>
      </c>
      <c r="F579" s="192"/>
      <c r="G579" s="192"/>
    </row>
    <row r="580" spans="1:7" ht="17.25" customHeight="1">
      <c r="A580" s="256"/>
      <c r="B580" s="127"/>
      <c r="C580" s="128"/>
      <c r="D580" s="126"/>
      <c r="E580" s="126"/>
      <c r="F580" s="192"/>
      <c r="G580" s="192"/>
    </row>
    <row r="581" spans="1:7" ht="33" customHeight="1">
      <c r="A581" s="325" t="s">
        <v>677</v>
      </c>
      <c r="B581" s="334"/>
      <c r="C581" s="334"/>
      <c r="D581" s="334"/>
      <c r="E581" s="334"/>
      <c r="F581" s="192"/>
      <c r="G581" s="192"/>
    </row>
    <row r="582" spans="1:7" ht="23.25" customHeight="1">
      <c r="A582" s="40" t="s">
        <v>212</v>
      </c>
      <c r="B582" s="40" t="s">
        <v>213</v>
      </c>
      <c r="C582" s="40" t="s">
        <v>214</v>
      </c>
      <c r="D582" s="40" t="s">
        <v>215</v>
      </c>
      <c r="E582" s="39" t="s">
        <v>216</v>
      </c>
      <c r="F582" s="192"/>
      <c r="G582" s="192"/>
    </row>
    <row r="583" spans="1:7" ht="21.75" customHeight="1">
      <c r="A583" s="331" t="s">
        <v>223</v>
      </c>
      <c r="B583" s="332"/>
      <c r="C583" s="333"/>
      <c r="D583" s="40"/>
      <c r="E583" s="39"/>
      <c r="F583" s="192"/>
      <c r="G583" s="192"/>
    </row>
    <row r="584" spans="1:7" ht="17.25" customHeight="1">
      <c r="A584" s="273">
        <v>919</v>
      </c>
      <c r="B584" s="253">
        <v>4</v>
      </c>
      <c r="C584" s="253" t="s">
        <v>225</v>
      </c>
      <c r="D584" s="220" t="s">
        <v>650</v>
      </c>
      <c r="E584" s="220">
        <v>327</v>
      </c>
      <c r="F584" s="192"/>
      <c r="G584" s="192"/>
    </row>
    <row r="585" spans="1:7" ht="17.25" customHeight="1">
      <c r="A585" s="273">
        <v>920</v>
      </c>
      <c r="B585" s="220">
        <v>2</v>
      </c>
      <c r="C585" s="220" t="s">
        <v>228</v>
      </c>
      <c r="D585" s="220" t="s">
        <v>651</v>
      </c>
      <c r="E585" s="220">
        <v>194</v>
      </c>
      <c r="F585" s="192"/>
      <c r="G585" s="192"/>
    </row>
    <row r="586" spans="1:7" ht="17.25" customHeight="1">
      <c r="A586" s="40"/>
      <c r="B586" s="255">
        <f>SUM(B584:B585)</f>
        <v>6</v>
      </c>
      <c r="C586" s="255"/>
      <c r="D586" s="255"/>
      <c r="E586" s="255">
        <f>SUM(E584:E585)</f>
        <v>521</v>
      </c>
      <c r="F586" s="192"/>
      <c r="G586" s="192"/>
    </row>
    <row r="587" spans="1:7" ht="17.25" customHeight="1">
      <c r="A587" s="331" t="s">
        <v>217</v>
      </c>
      <c r="B587" s="332"/>
      <c r="C587" s="333"/>
      <c r="D587" s="40"/>
      <c r="E587" s="39"/>
      <c r="F587" s="192"/>
      <c r="G587" s="192"/>
    </row>
    <row r="588" spans="1:7" ht="17.25" customHeight="1">
      <c r="A588" s="273">
        <v>924</v>
      </c>
      <c r="B588" s="253">
        <v>15</v>
      </c>
      <c r="C588" s="253" t="s">
        <v>228</v>
      </c>
      <c r="D588" s="220" t="s">
        <v>653</v>
      </c>
      <c r="E588" s="220">
        <v>1559</v>
      </c>
      <c r="F588" s="192"/>
      <c r="G588" s="192"/>
    </row>
    <row r="589" spans="1:7" ht="17.25" customHeight="1">
      <c r="A589" s="273">
        <v>921</v>
      </c>
      <c r="B589" s="253">
        <v>8</v>
      </c>
      <c r="C589" s="253" t="s">
        <v>225</v>
      </c>
      <c r="D589" s="254" t="s">
        <v>652</v>
      </c>
      <c r="E589" s="220">
        <v>436</v>
      </c>
      <c r="F589" s="192"/>
      <c r="G589" s="192"/>
    </row>
    <row r="590" spans="1:7" ht="17.25" customHeight="1">
      <c r="A590" s="273">
        <v>922</v>
      </c>
      <c r="B590" s="220">
        <v>4</v>
      </c>
      <c r="C590" s="220" t="s">
        <v>228</v>
      </c>
      <c r="D590" s="254" t="s">
        <v>581</v>
      </c>
      <c r="E590" s="220">
        <v>335</v>
      </c>
      <c r="F590" s="192"/>
      <c r="G590" s="192"/>
    </row>
    <row r="591" spans="1:7" ht="17.25" customHeight="1">
      <c r="A591" s="273">
        <v>923</v>
      </c>
      <c r="B591" s="220">
        <v>3</v>
      </c>
      <c r="C591" s="274" t="s">
        <v>232</v>
      </c>
      <c r="D591" s="254" t="s">
        <v>240</v>
      </c>
      <c r="E591" s="253">
        <v>321</v>
      </c>
      <c r="F591" s="192"/>
      <c r="G591" s="192"/>
    </row>
    <row r="592" spans="1:7" ht="17.25" customHeight="1">
      <c r="A592" s="40"/>
      <c r="B592" s="255">
        <f>SUM(B588:B591)</f>
        <v>30</v>
      </c>
      <c r="C592" s="255"/>
      <c r="D592" s="255"/>
      <c r="E592" s="255">
        <f>SUM(E588:E591)</f>
        <v>2651</v>
      </c>
      <c r="F592" s="192"/>
      <c r="G592" s="192"/>
    </row>
    <row r="593" spans="1:7" ht="17.25" customHeight="1">
      <c r="A593" s="255" t="s">
        <v>14</v>
      </c>
      <c r="B593" s="126">
        <f>B586+B592</f>
        <v>36</v>
      </c>
      <c r="C593" s="126"/>
      <c r="D593" s="126"/>
      <c r="E593" s="126">
        <f>E586+E592</f>
        <v>3172</v>
      </c>
      <c r="F593" s="192"/>
      <c r="G593" s="192"/>
    </row>
    <row r="594" spans="1:7" ht="17.25" customHeight="1">
      <c r="A594" s="256"/>
      <c r="B594" s="127"/>
      <c r="C594" s="128"/>
      <c r="D594" s="126"/>
      <c r="E594" s="126"/>
      <c r="F594" s="192"/>
      <c r="G594" s="192"/>
    </row>
    <row r="595" spans="1:7" ht="26.25" customHeight="1">
      <c r="A595" s="325" t="s">
        <v>678</v>
      </c>
      <c r="B595" s="334"/>
      <c r="C595" s="334"/>
      <c r="D595" s="334"/>
      <c r="E595" s="334"/>
      <c r="F595" s="192"/>
      <c r="G595" s="192"/>
    </row>
    <row r="596" spans="1:7" ht="24" customHeight="1">
      <c r="A596" s="40" t="s">
        <v>212</v>
      </c>
      <c r="B596" s="40" t="s">
        <v>213</v>
      </c>
      <c r="C596" s="40" t="s">
        <v>214</v>
      </c>
      <c r="D596" s="40" t="s">
        <v>215</v>
      </c>
      <c r="E596" s="39" t="s">
        <v>216</v>
      </c>
      <c r="F596" s="192"/>
      <c r="G596" s="192"/>
    </row>
    <row r="597" spans="1:7" ht="18.75" customHeight="1">
      <c r="A597" s="331" t="s">
        <v>223</v>
      </c>
      <c r="B597" s="332"/>
      <c r="C597" s="333"/>
      <c r="D597" s="40"/>
      <c r="E597" s="39"/>
      <c r="F597" s="192"/>
      <c r="G597" s="192"/>
    </row>
    <row r="598" spans="1:7" ht="17.25" customHeight="1">
      <c r="A598" s="270">
        <v>118</v>
      </c>
      <c r="B598" s="258">
        <v>9</v>
      </c>
      <c r="C598" s="259" t="s">
        <v>218</v>
      </c>
      <c r="D598" s="254" t="s">
        <v>654</v>
      </c>
      <c r="E598" s="265">
        <v>703</v>
      </c>
      <c r="F598" s="192"/>
      <c r="G598" s="192"/>
    </row>
    <row r="599" spans="1:7" ht="17.25" customHeight="1">
      <c r="A599" s="271">
        <v>119</v>
      </c>
      <c r="B599" s="258">
        <v>12</v>
      </c>
      <c r="C599" s="259" t="s">
        <v>237</v>
      </c>
      <c r="D599" s="260" t="s">
        <v>655</v>
      </c>
      <c r="E599" s="259">
        <v>1246</v>
      </c>
      <c r="F599" s="192"/>
      <c r="G599" s="192"/>
    </row>
    <row r="600" spans="1:7" ht="17.25" customHeight="1">
      <c r="A600" s="40"/>
      <c r="B600" s="255">
        <f>SUM(B598:B599)</f>
        <v>21</v>
      </c>
      <c r="C600" s="255"/>
      <c r="D600" s="255"/>
      <c r="E600" s="255">
        <f>SUM(E598:E599)</f>
        <v>1949</v>
      </c>
      <c r="F600" s="192"/>
      <c r="G600" s="192"/>
    </row>
    <row r="601" spans="1:7" ht="17.25" customHeight="1">
      <c r="A601" s="331" t="s">
        <v>217</v>
      </c>
      <c r="B601" s="332"/>
      <c r="C601" s="333"/>
      <c r="D601" s="40"/>
      <c r="E601" s="39"/>
      <c r="F601" s="192"/>
      <c r="G601" s="192"/>
    </row>
    <row r="602" spans="1:7" ht="47.25" customHeight="1">
      <c r="A602" s="272">
        <v>122</v>
      </c>
      <c r="B602" s="193">
        <v>31</v>
      </c>
      <c r="C602" s="267" t="s">
        <v>435</v>
      </c>
      <c r="D602" s="262" t="s">
        <v>656</v>
      </c>
      <c r="E602" s="263">
        <v>3316</v>
      </c>
      <c r="F602" s="192"/>
      <c r="G602" s="192"/>
    </row>
    <row r="603" spans="1:7" ht="17.25" customHeight="1">
      <c r="A603" s="272">
        <v>120</v>
      </c>
      <c r="B603" s="193">
        <v>23</v>
      </c>
      <c r="C603" s="261" t="s">
        <v>218</v>
      </c>
      <c r="D603" s="262" t="s">
        <v>403</v>
      </c>
      <c r="E603" s="263">
        <v>1071</v>
      </c>
      <c r="F603" s="192"/>
      <c r="G603" s="192"/>
    </row>
    <row r="604" spans="1:7" ht="17.25" customHeight="1">
      <c r="A604" s="272">
        <v>123</v>
      </c>
      <c r="B604" s="193">
        <v>5</v>
      </c>
      <c r="C604" s="261" t="s">
        <v>218</v>
      </c>
      <c r="D604" s="262" t="s">
        <v>303</v>
      </c>
      <c r="E604" s="263">
        <v>233</v>
      </c>
      <c r="F604" s="192"/>
      <c r="G604" s="192"/>
    </row>
    <row r="605" spans="1:7" ht="17.25" customHeight="1">
      <c r="A605" s="272">
        <v>124</v>
      </c>
      <c r="B605" s="193">
        <v>14</v>
      </c>
      <c r="C605" s="261" t="s">
        <v>218</v>
      </c>
      <c r="D605" s="262" t="s">
        <v>296</v>
      </c>
      <c r="E605" s="158">
        <v>656</v>
      </c>
      <c r="F605" s="192"/>
      <c r="G605" s="192"/>
    </row>
    <row r="606" spans="1:7" ht="17.25" customHeight="1">
      <c r="A606" s="273">
        <v>125</v>
      </c>
      <c r="B606" s="265">
        <v>2</v>
      </c>
      <c r="C606" s="265" t="s">
        <v>237</v>
      </c>
      <c r="D606" s="254" t="s">
        <v>679</v>
      </c>
      <c r="E606" s="265">
        <v>200</v>
      </c>
      <c r="F606" s="192"/>
      <c r="G606" s="192"/>
    </row>
    <row r="607" spans="1:7" ht="17.25" customHeight="1">
      <c r="A607" s="40"/>
      <c r="B607" s="255">
        <f>SUM(B602:B606)</f>
        <v>75</v>
      </c>
      <c r="C607" s="257"/>
      <c r="D607" s="257"/>
      <c r="E607" s="257">
        <f>SUM(E602:E606)</f>
        <v>5476</v>
      </c>
      <c r="F607" s="192"/>
      <c r="G607" s="192"/>
    </row>
    <row r="608" spans="1:7" ht="17.25" customHeight="1">
      <c r="A608" s="331" t="s">
        <v>230</v>
      </c>
      <c r="B608" s="332"/>
      <c r="C608" s="333"/>
      <c r="D608" s="255"/>
      <c r="E608" s="255"/>
      <c r="F608" s="192"/>
      <c r="G608" s="192"/>
    </row>
    <row r="609" spans="1:7" ht="17.25" customHeight="1">
      <c r="A609" s="272">
        <v>121</v>
      </c>
      <c r="B609" s="193">
        <v>3</v>
      </c>
      <c r="C609" s="261" t="s">
        <v>218</v>
      </c>
      <c r="D609" s="264" t="s">
        <v>240</v>
      </c>
      <c r="E609" s="266">
        <v>102</v>
      </c>
      <c r="F609" s="192"/>
      <c r="G609" s="192"/>
    </row>
    <row r="610" spans="1:7" ht="17.25" customHeight="1">
      <c r="A610" s="40"/>
      <c r="B610" s="255">
        <f>B609</f>
        <v>3</v>
      </c>
      <c r="C610" s="255"/>
      <c r="D610" s="255"/>
      <c r="E610" s="255">
        <f>E609</f>
        <v>102</v>
      </c>
      <c r="F610" s="192"/>
      <c r="G610" s="192"/>
    </row>
    <row r="611" spans="1:7" ht="17.25" customHeight="1">
      <c r="A611" s="255" t="s">
        <v>14</v>
      </c>
      <c r="B611" s="126">
        <f>B600+B607+B610</f>
        <v>99</v>
      </c>
      <c r="C611" s="126"/>
      <c r="D611" s="126"/>
      <c r="E611" s="126">
        <f>E600+E607+E610</f>
        <v>7527</v>
      </c>
      <c r="F611" s="192"/>
      <c r="G611" s="192"/>
    </row>
    <row r="612" spans="1:7" ht="17.25" customHeight="1">
      <c r="A612" s="277"/>
      <c r="B612" s="127"/>
      <c r="C612" s="128"/>
      <c r="D612" s="126"/>
      <c r="E612" s="126"/>
      <c r="F612" s="192"/>
      <c r="G612" s="192"/>
    </row>
    <row r="613" spans="1:7" ht="25.5" customHeight="1">
      <c r="A613" s="325" t="s">
        <v>693</v>
      </c>
      <c r="B613" s="334"/>
      <c r="C613" s="334"/>
      <c r="D613" s="334"/>
      <c r="E613" s="334"/>
      <c r="F613" s="192"/>
      <c r="G613" s="192"/>
    </row>
    <row r="614" spans="1:7" ht="22.5" customHeight="1">
      <c r="A614" s="40" t="s">
        <v>212</v>
      </c>
      <c r="B614" s="40" t="s">
        <v>213</v>
      </c>
      <c r="C614" s="40" t="s">
        <v>214</v>
      </c>
      <c r="D614" s="40" t="s">
        <v>215</v>
      </c>
      <c r="E614" s="39" t="s">
        <v>216</v>
      </c>
      <c r="F614" s="192"/>
      <c r="G614" s="192"/>
    </row>
    <row r="615" spans="1:7" ht="17.25" customHeight="1">
      <c r="A615" s="331" t="s">
        <v>223</v>
      </c>
      <c r="B615" s="332"/>
      <c r="C615" s="333"/>
      <c r="D615" s="40"/>
      <c r="E615" s="39"/>
      <c r="F615" s="192"/>
      <c r="G615" s="192"/>
    </row>
    <row r="616" spans="1:7" ht="17.25" customHeight="1">
      <c r="A616" s="295">
        <v>24002</v>
      </c>
      <c r="B616" s="265">
        <v>1</v>
      </c>
      <c r="C616" s="254" t="s">
        <v>224</v>
      </c>
      <c r="D616" s="254" t="s">
        <v>683</v>
      </c>
      <c r="E616" s="265">
        <v>54</v>
      </c>
      <c r="F616" s="192"/>
      <c r="G616" s="192"/>
    </row>
    <row r="617" spans="1:7" ht="17.25" customHeight="1">
      <c r="A617" s="295">
        <v>24003</v>
      </c>
      <c r="B617" s="265">
        <v>1</v>
      </c>
      <c r="C617" s="254" t="s">
        <v>225</v>
      </c>
      <c r="D617" s="254" t="s">
        <v>684</v>
      </c>
      <c r="E617" s="265">
        <v>87</v>
      </c>
      <c r="F617" s="192"/>
      <c r="G617" s="192"/>
    </row>
    <row r="618" spans="1:7" ht="17.25" customHeight="1">
      <c r="A618" s="295">
        <v>24004</v>
      </c>
      <c r="B618" s="265">
        <v>3</v>
      </c>
      <c r="C618" s="254" t="s">
        <v>228</v>
      </c>
      <c r="D618" s="254" t="s">
        <v>685</v>
      </c>
      <c r="E618" s="265">
        <v>355</v>
      </c>
      <c r="F618" s="192"/>
      <c r="G618" s="192"/>
    </row>
    <row r="619" spans="1:7" ht="17.25" customHeight="1">
      <c r="A619" s="40"/>
      <c r="B619" s="276">
        <f>SUM(B616:B618)</f>
        <v>5</v>
      </c>
      <c r="C619" s="276"/>
      <c r="D619" s="276"/>
      <c r="E619" s="276">
        <f>SUM(E616:E618)</f>
        <v>496</v>
      </c>
      <c r="F619" s="192"/>
      <c r="G619" s="192"/>
    </row>
    <row r="620" spans="1:7" ht="17.25" customHeight="1">
      <c r="A620" s="331" t="s">
        <v>217</v>
      </c>
      <c r="B620" s="332"/>
      <c r="C620" s="333"/>
      <c r="D620" s="40"/>
      <c r="E620" s="39"/>
      <c r="F620" s="192"/>
      <c r="G620" s="192"/>
    </row>
    <row r="621" spans="1:7" ht="17.25" customHeight="1">
      <c r="A621" s="295">
        <v>24005</v>
      </c>
      <c r="B621" s="265">
        <v>1</v>
      </c>
      <c r="C621" s="265" t="s">
        <v>224</v>
      </c>
      <c r="D621" s="254" t="s">
        <v>686</v>
      </c>
      <c r="E621" s="265">
        <v>56</v>
      </c>
      <c r="F621" s="192"/>
      <c r="G621" s="192"/>
    </row>
    <row r="622" spans="1:7" ht="17.25" customHeight="1">
      <c r="A622" s="295">
        <v>24006</v>
      </c>
      <c r="B622" s="265">
        <v>5</v>
      </c>
      <c r="C622" s="295" t="s">
        <v>241</v>
      </c>
      <c r="D622" s="254" t="s">
        <v>687</v>
      </c>
      <c r="E622" s="265">
        <v>1048</v>
      </c>
      <c r="F622" s="192"/>
      <c r="G622" s="192"/>
    </row>
    <row r="623" spans="1:7" ht="17.25" customHeight="1">
      <c r="A623" s="295">
        <v>24007</v>
      </c>
      <c r="B623" s="265">
        <v>1</v>
      </c>
      <c r="C623" s="295" t="s">
        <v>244</v>
      </c>
      <c r="D623" s="254" t="s">
        <v>688</v>
      </c>
      <c r="E623" s="265">
        <v>300</v>
      </c>
      <c r="F623" s="192"/>
      <c r="G623" s="192"/>
    </row>
    <row r="624" spans="1:7" ht="17.25" customHeight="1">
      <c r="A624" s="295">
        <v>24009</v>
      </c>
      <c r="B624" s="292">
        <v>1</v>
      </c>
      <c r="C624" s="274" t="s">
        <v>690</v>
      </c>
      <c r="D624" s="293" t="s">
        <v>689</v>
      </c>
      <c r="E624" s="292">
        <v>780</v>
      </c>
      <c r="F624" s="192"/>
      <c r="G624" s="192"/>
    </row>
    <row r="625" spans="1:7" ht="17.25" customHeight="1">
      <c r="A625" s="295">
        <v>24008</v>
      </c>
      <c r="B625" s="292">
        <v>2</v>
      </c>
      <c r="C625" s="293" t="s">
        <v>228</v>
      </c>
      <c r="D625" s="293" t="s">
        <v>691</v>
      </c>
      <c r="E625" s="292">
        <v>155</v>
      </c>
      <c r="F625" s="192"/>
      <c r="G625" s="192"/>
    </row>
    <row r="626" spans="1:7" ht="17.25" customHeight="1">
      <c r="A626" s="295">
        <v>24008</v>
      </c>
      <c r="B626" s="292">
        <v>1</v>
      </c>
      <c r="C626" s="274" t="s">
        <v>232</v>
      </c>
      <c r="D626" s="294" t="s">
        <v>692</v>
      </c>
      <c r="E626" s="293">
        <v>95</v>
      </c>
      <c r="F626" s="192"/>
      <c r="G626" s="192"/>
    </row>
    <row r="627" spans="1:7" ht="17.25" customHeight="1">
      <c r="A627" s="40"/>
      <c r="B627" s="276">
        <f>SUM(B621:B626)</f>
        <v>11</v>
      </c>
      <c r="C627" s="276"/>
      <c r="D627" s="276"/>
      <c r="E627" s="276">
        <f>SUM(E621:E626)</f>
        <v>2434</v>
      </c>
      <c r="F627" s="192"/>
      <c r="G627" s="192"/>
    </row>
    <row r="628" spans="1:7" ht="17.25" customHeight="1">
      <c r="A628" s="331" t="s">
        <v>229</v>
      </c>
      <c r="B628" s="332"/>
      <c r="C628" s="333"/>
      <c r="D628" s="276"/>
      <c r="E628" s="276"/>
      <c r="F628" s="192"/>
      <c r="G628" s="192"/>
    </row>
    <row r="629" spans="1:7" ht="17.25" customHeight="1">
      <c r="A629" s="298">
        <v>24001</v>
      </c>
      <c r="B629" s="253">
        <v>2</v>
      </c>
      <c r="C629" s="279" t="s">
        <v>218</v>
      </c>
      <c r="D629" s="285" t="s">
        <v>311</v>
      </c>
      <c r="E629" s="279">
        <v>120</v>
      </c>
      <c r="F629" s="192"/>
      <c r="G629" s="192"/>
    </row>
    <row r="630" spans="1:7" ht="17.25" customHeight="1">
      <c r="A630" s="40"/>
      <c r="B630" s="276">
        <f>B629</f>
        <v>2</v>
      </c>
      <c r="C630" s="276"/>
      <c r="D630" s="276"/>
      <c r="E630" s="276">
        <f>E629</f>
        <v>120</v>
      </c>
      <c r="F630" s="192"/>
      <c r="G630" s="192"/>
    </row>
    <row r="631" spans="1:7" ht="17.25" customHeight="1">
      <c r="A631" s="276" t="s">
        <v>14</v>
      </c>
      <c r="B631" s="126">
        <f>B619+B627+B630</f>
        <v>18</v>
      </c>
      <c r="C631" s="126"/>
      <c r="D631" s="126"/>
      <c r="E631" s="126">
        <f>E619+E627+E630</f>
        <v>3050</v>
      </c>
      <c r="F631" s="192"/>
      <c r="G631" s="192"/>
    </row>
    <row r="632" spans="1:7" ht="17.25" customHeight="1">
      <c r="A632" s="250"/>
      <c r="B632" s="127"/>
      <c r="C632" s="128"/>
      <c r="D632" s="126"/>
      <c r="E632" s="126"/>
      <c r="F632" s="192"/>
      <c r="G632" s="192"/>
    </row>
    <row r="633" spans="1:8" ht="15" customHeight="1">
      <c r="A633" s="344" t="s">
        <v>22</v>
      </c>
      <c r="B633" s="345"/>
      <c r="C633" s="346"/>
      <c r="D633" s="8"/>
      <c r="E633" s="10"/>
      <c r="F633" s="121"/>
      <c r="G633" s="121"/>
      <c r="H633" s="1"/>
    </row>
    <row r="634" spans="1:8" ht="15" customHeight="1">
      <c r="A634" s="39"/>
      <c r="B634" s="130"/>
      <c r="C634" s="131"/>
      <c r="D634" s="43"/>
      <c r="E634" s="44">
        <f>SUM(E636:E639)</f>
        <v>6.209</v>
      </c>
      <c r="H634" s="1"/>
    </row>
    <row r="635" spans="1:18" ht="15" customHeight="1">
      <c r="A635" s="40" t="s">
        <v>5</v>
      </c>
      <c r="B635" s="325" t="s">
        <v>17</v>
      </c>
      <c r="C635" s="326"/>
      <c r="D635" s="129" t="s">
        <v>18</v>
      </c>
      <c r="E635" s="40" t="s">
        <v>7</v>
      </c>
      <c r="G635" s="93" t="str">
        <f>CONCATENATE("Cable Scrap, Lying at ",B636,". Quantity in MT - ")</f>
        <v>Cable Scrap, Lying at CS Ferozepur. Quantity in MT - </v>
      </c>
      <c r="H635" s="427" t="str">
        <f ca="1">CONCATENATE(G635,G636,(INDIRECT(I636)),(INDIRECT(J636)),(INDIRECT(K636)),(INDIRECT(L636)),(INDIRECT(M636)),(INDIRECT(N636)),(INDIRECT(O636)),(INDIRECT(P636)),(INDIRECT(Q636)),(INDIRECT(R636)))</f>
        <v>Cable Scrap, Lying at CS Ferozepur. Quantity in MT - 2/core PVC Alumn. Cable scrap - 0.719, 4/core PVC Alumn. Cable scrap - 2.482, 1/ core XLPE Alu cable scrap - 0.136, 3/ core XLPE Alu cable scrap - 2.872, </v>
      </c>
      <c r="I635" s="98" t="str">
        <f aca="true" ca="1" t="array" ref="I635">CELL("address",INDEX(G635:G659,MATCH(TRUE,ISBLANK(G635:G659),0)))</f>
        <v>$G$640</v>
      </c>
      <c r="J635" s="98">
        <f aca="true" t="array" ref="J635">MATCH(TRUE,ISBLANK(G635:G659),0)</f>
        <v>6</v>
      </c>
      <c r="K635" s="98">
        <f>J635-3</f>
        <v>3</v>
      </c>
      <c r="L635" s="98"/>
      <c r="M635" s="98"/>
      <c r="N635" s="98"/>
      <c r="O635" s="98"/>
      <c r="P635" s="98"/>
      <c r="Q635" s="98"/>
      <c r="R635" s="98"/>
    </row>
    <row r="636" spans="1:18" ht="15" customHeight="1">
      <c r="A636" s="328" t="s">
        <v>35</v>
      </c>
      <c r="B636" s="329" t="s">
        <v>99</v>
      </c>
      <c r="C636" s="329"/>
      <c r="D636" s="34" t="s">
        <v>90</v>
      </c>
      <c r="E636" s="290">
        <v>0.719</v>
      </c>
      <c r="F636" s="98">
        <v>0.676</v>
      </c>
      <c r="G636" s="92" t="str">
        <f>CONCATENATE(D636," - ",E636,", ")</f>
        <v>2/core PVC Alumn. Cable scrap - 0.719, </v>
      </c>
      <c r="H636" s="427"/>
      <c r="I636" s="98" t="str">
        <f ca="1">IF(J635&gt;=3,(MID(I635,2,1)&amp;MID(I635,4,3)-K635),CELL("address",Z636))</f>
        <v>G637</v>
      </c>
      <c r="J636" s="98" t="str">
        <f ca="1">IF(J635&gt;=4,(MID(I636,1,1)&amp;MID(I636,2,3)+1),CELL("address",AA636))</f>
        <v>G638</v>
      </c>
      <c r="K636" s="98" t="str">
        <f ca="1">IF(J635&gt;=5,(MID(J636,1,1)&amp;MID(J636,2,3)+1),CELL("address",AB636))</f>
        <v>G639</v>
      </c>
      <c r="L636" s="98" t="str">
        <f ca="1">IF(J635&gt;=6,(MID(K636,1,1)&amp;MID(K636,2,3)+1),CELL("address",AC636))</f>
        <v>G640</v>
      </c>
      <c r="M636" s="98" t="str">
        <f ca="1">IF(J635&gt;=7,(MID(L636,1,1)&amp;MID(L636,2,3)+1),CELL("address",AD636))</f>
        <v>$AD$636</v>
      </c>
      <c r="N636" s="98" t="str">
        <f ca="1">IF(J635&gt;=8,(MID(M636,1,1)&amp;MID(M636,2,3)+1),CELL("address",AE636))</f>
        <v>$AE$636</v>
      </c>
      <c r="O636" s="98" t="str">
        <f ca="1">IF(J635&gt;=9,(MID(N636,1,1)&amp;MID(N636,2,3)+1),CELL("address",AF636))</f>
        <v>$AF$636</v>
      </c>
      <c r="P636" s="98" t="str">
        <f ca="1">IF(J635&gt;=10,(MID(O636,1,1)&amp;MID(O636,2,3)+1),CELL("address",AG636))</f>
        <v>$AG$636</v>
      </c>
      <c r="Q636" s="98" t="str">
        <f ca="1">IF(J635&gt;=11,(MID(P636,1,1)&amp;MID(P636,2,3)+1),CELL("address",AH636))</f>
        <v>$AH$636</v>
      </c>
      <c r="R636" s="98" t="str">
        <f ca="1">IF(J635&gt;=12,(MID(Q636,1,1)&amp;MID(Q636,2,3)+1),CELL("address",AI636))</f>
        <v>$AI$636</v>
      </c>
    </row>
    <row r="637" spans="1:15" ht="15" customHeight="1">
      <c r="A637" s="328"/>
      <c r="B637" s="329"/>
      <c r="C637" s="329"/>
      <c r="D637" s="34" t="s">
        <v>91</v>
      </c>
      <c r="E637" s="290">
        <v>2.482</v>
      </c>
      <c r="F637" s="98">
        <v>2.192</v>
      </c>
      <c r="G637" s="92" t="str">
        <f>CONCATENATE(D637," - ",E637,", ")</f>
        <v>4/core PVC Alumn. Cable scrap - 2.482, </v>
      </c>
      <c r="H637" s="426"/>
      <c r="I637" s="98" t="e">
        <f ca="1">IF(G636&gt;=6,(MID(H637,1,1)&amp;MID(H637,2,3)+1),CELL("address",Z637))</f>
        <v>#VALUE!</v>
      </c>
      <c r="J637" s="98" t="e">
        <f ca="1">IF(G636&gt;=7,(MID(I637,1,1)&amp;MID(I637,2,3)+1),CELL("address",AA637))</f>
        <v>#VALUE!</v>
      </c>
      <c r="K637" s="98" t="e">
        <f ca="1">IF(G636&gt;=8,(MID(J637,1,1)&amp;MID(J637,2,3)+1),CELL("address",AB637))</f>
        <v>#VALUE!</v>
      </c>
      <c r="L637" s="98" t="e">
        <f ca="1">IF(G636&gt;=9,(MID(K637,1,1)&amp;MID(K637,2,3)+1),CELL("address",AC637))</f>
        <v>#VALUE!</v>
      </c>
      <c r="M637" s="98" t="e">
        <f ca="1">IF(G636&gt;=10,(MID(L637,1,1)&amp;MID(L637,2,3)+1),CELL("address",AD637))</f>
        <v>#VALUE!</v>
      </c>
      <c r="N637" s="98" t="e">
        <f ca="1">IF(G636&gt;=11,(MID(M637,1,1)&amp;MID(M637,2,3)+1),CELL("address",AE637))</f>
        <v>#VALUE!</v>
      </c>
      <c r="O637" s="98" t="e">
        <f ca="1">IF(G636&gt;=12,(MID(N637,1,1)&amp;MID(N637,2,3)+1),CELL("address",AF637))</f>
        <v>#VALUE!</v>
      </c>
    </row>
    <row r="638" spans="1:8" ht="15" customHeight="1">
      <c r="A638" s="328"/>
      <c r="B638" s="329"/>
      <c r="C638" s="329"/>
      <c r="D638" s="45" t="s">
        <v>97</v>
      </c>
      <c r="E638" s="45">
        <v>0.136</v>
      </c>
      <c r="G638" s="92" t="str">
        <f>CONCATENATE(D638," - ",E638,", ")</f>
        <v>1/ core XLPE Alu cable scrap - 0.136, </v>
      </c>
      <c r="H638" s="1"/>
    </row>
    <row r="639" spans="1:8" ht="15" customHeight="1">
      <c r="A639" s="328"/>
      <c r="B639" s="329"/>
      <c r="C639" s="329"/>
      <c r="D639" s="34" t="s">
        <v>92</v>
      </c>
      <c r="E639" s="49">
        <v>2.872</v>
      </c>
      <c r="F639" s="1">
        <v>2.572</v>
      </c>
      <c r="G639" s="92" t="str">
        <f>CONCATENATE(D639," - ",E639,", ")</f>
        <v>3/ core XLPE Alu cable scrap - 2.872, </v>
      </c>
      <c r="H639" s="1"/>
    </row>
    <row r="640" spans="1:8" ht="15" customHeight="1">
      <c r="A640" s="39"/>
      <c r="B640" s="48"/>
      <c r="C640" s="214"/>
      <c r="D640" s="34"/>
      <c r="E640" s="49"/>
      <c r="H640" s="1"/>
    </row>
    <row r="641" spans="1:8" ht="15" customHeight="1">
      <c r="A641" s="40"/>
      <c r="B641" s="341"/>
      <c r="C641" s="342"/>
      <c r="D641" s="220"/>
      <c r="E641" s="52">
        <f>SUM(E643:E646)</f>
        <v>3.2920000000000003</v>
      </c>
      <c r="H641" s="1"/>
    </row>
    <row r="642" spans="1:18" ht="15" customHeight="1">
      <c r="A642" s="40" t="s">
        <v>5</v>
      </c>
      <c r="B642" s="329" t="s">
        <v>17</v>
      </c>
      <c r="C642" s="329"/>
      <c r="D642" s="212" t="s">
        <v>18</v>
      </c>
      <c r="E642" s="40" t="s">
        <v>7</v>
      </c>
      <c r="G642" s="93" t="str">
        <f>CONCATENATE("Cable Scrap, Lying at ",B643,". Quantity in MT - ")</f>
        <v>Cable Scrap, Lying at OL Shri Muktsar Sahib. Quantity in MT - </v>
      </c>
      <c r="H642" s="427" t="str">
        <f ca="1">CONCATENATE(G642,G643,(INDIRECT(I643)),(INDIRECT(J643)),(INDIRECT(K643)),(INDIRECT(L643)),(INDIRECT(M643)),(INDIRECT(N643)),(INDIRECT(O643)),(INDIRECT(P643)),(INDIRECT(Q643)),(INDIRECT(R643)))</f>
        <v>Cable Scrap, Lying at OL Shri Muktsar Sahib. Quantity in MT - 4/core PVC Alumn. Cable scrap - 0.679, 3/ core XLPE Alu cable scrap - 1.96, 1/core PVC Alumn. Cable scrap - 0.141, 2/core PVC Alumn. Cable scrap - 0.512, </v>
      </c>
      <c r="I642" s="98" t="str">
        <f aca="true" ca="1" t="array" ref="I642">CELL("address",INDEX(G642:G666,MATCH(TRUE,ISBLANK(G642:G666),0)))</f>
        <v>$G$647</v>
      </c>
      <c r="J642" s="98">
        <f aca="true" t="array" ref="J642">MATCH(TRUE,ISBLANK(G642:G666),0)</f>
        <v>6</v>
      </c>
      <c r="K642" s="98">
        <f>J642-3</f>
        <v>3</v>
      </c>
      <c r="L642" s="98"/>
      <c r="M642" s="98"/>
      <c r="N642" s="98"/>
      <c r="O642" s="98"/>
      <c r="P642" s="98"/>
      <c r="Q642" s="98"/>
      <c r="R642" s="98"/>
    </row>
    <row r="643" spans="1:18" ht="15" customHeight="1">
      <c r="A643" s="356" t="s">
        <v>93</v>
      </c>
      <c r="B643" s="347" t="s">
        <v>146</v>
      </c>
      <c r="C643" s="348"/>
      <c r="D643" s="34" t="s">
        <v>91</v>
      </c>
      <c r="E643" s="290">
        <v>0.679</v>
      </c>
      <c r="F643" s="98">
        <v>0.509</v>
      </c>
      <c r="G643" s="92" t="str">
        <f>CONCATENATE(D643," - ",E643,", ")</f>
        <v>4/core PVC Alumn. Cable scrap - 0.679, </v>
      </c>
      <c r="H643" s="427"/>
      <c r="I643" s="98" t="str">
        <f ca="1">IF(J642&gt;=3,(MID(I642,2,1)&amp;MID(I642,4,3)-K642),CELL("address",Z643))</f>
        <v>G644</v>
      </c>
      <c r="J643" s="98" t="str">
        <f ca="1">IF(J642&gt;=4,(MID(I643,1,1)&amp;MID(I643,2,3)+1),CELL("address",AA643))</f>
        <v>G645</v>
      </c>
      <c r="K643" s="98" t="str">
        <f ca="1">IF(J642&gt;=5,(MID(J643,1,1)&amp;MID(J643,2,3)+1),CELL("address",AB643))</f>
        <v>G646</v>
      </c>
      <c r="L643" s="98" t="str">
        <f ca="1">IF(J642&gt;=6,(MID(K643,1,1)&amp;MID(K643,2,3)+1),CELL("address",AC643))</f>
        <v>G647</v>
      </c>
      <c r="M643" s="98" t="str">
        <f ca="1">IF(J642&gt;=7,(MID(L643,1,1)&amp;MID(L643,2,3)+1),CELL("address",AD643))</f>
        <v>$AD$643</v>
      </c>
      <c r="N643" s="98" t="str">
        <f ca="1">IF(J642&gt;=8,(MID(M643,1,1)&amp;MID(M643,2,3)+1),CELL("address",AE643))</f>
        <v>$AE$643</v>
      </c>
      <c r="O643" s="98" t="str">
        <f ca="1">IF(J642&gt;=9,(MID(N643,1,1)&amp;MID(N643,2,3)+1),CELL("address",AF643))</f>
        <v>$AF$643</v>
      </c>
      <c r="P643" s="98" t="str">
        <f ca="1">IF(J642&gt;=10,(MID(O643,1,1)&amp;MID(O643,2,3)+1),CELL("address",AG643))</f>
        <v>$AG$643</v>
      </c>
      <c r="Q643" s="98" t="str">
        <f ca="1">IF(J642&gt;=11,(MID(P643,1,1)&amp;MID(P643,2,3)+1),CELL("address",AH643))</f>
        <v>$AH$643</v>
      </c>
      <c r="R643" s="98" t="str">
        <f ca="1">IF(J642&gt;=12,(MID(Q643,1,1)&amp;MID(Q643,2,3)+1),CELL("address",AI643))</f>
        <v>$AI$643</v>
      </c>
    </row>
    <row r="644" spans="1:15" ht="15" customHeight="1">
      <c r="A644" s="357"/>
      <c r="B644" s="352"/>
      <c r="C644" s="353"/>
      <c r="D644" s="45" t="s">
        <v>92</v>
      </c>
      <c r="E644" s="46">
        <v>1.96</v>
      </c>
      <c r="F644" s="98"/>
      <c r="G644" s="92" t="str">
        <f>CONCATENATE(D644," - ",E644,", ")</f>
        <v>3/ core XLPE Alu cable scrap - 1.96, </v>
      </c>
      <c r="H644" s="426"/>
      <c r="I644" s="98" t="e">
        <f ca="1">IF(G643&gt;=6,(MID(H644,1,1)&amp;MID(H644,2,3)+1),CELL("address",Z644))</f>
        <v>#VALUE!</v>
      </c>
      <c r="J644" s="98" t="e">
        <f ca="1">IF(G643&gt;=7,(MID(I644,1,1)&amp;MID(I644,2,3)+1),CELL("address",AA644))</f>
        <v>#VALUE!</v>
      </c>
      <c r="K644" s="98" t="e">
        <f ca="1">IF(G643&gt;=8,(MID(J644,1,1)&amp;MID(J644,2,3)+1),CELL("address",AB644))</f>
        <v>#VALUE!</v>
      </c>
      <c r="L644" s="98" t="e">
        <f ca="1">IF(G643&gt;=9,(MID(K644,1,1)&amp;MID(K644,2,3)+1),CELL("address",AC644))</f>
        <v>#VALUE!</v>
      </c>
      <c r="M644" s="98" t="e">
        <f ca="1">IF(G643&gt;=10,(MID(L644,1,1)&amp;MID(L644,2,3)+1),CELL("address",AD644))</f>
        <v>#VALUE!</v>
      </c>
      <c r="N644" s="98" t="e">
        <f ca="1">IF(G643&gt;=11,(MID(M644,1,1)&amp;MID(M644,2,3)+1),CELL("address",AE644))</f>
        <v>#VALUE!</v>
      </c>
      <c r="O644" s="98" t="e">
        <f ca="1">IF(G643&gt;=12,(MID(N644,1,1)&amp;MID(N644,2,3)+1),CELL("address",AF644))</f>
        <v>#VALUE!</v>
      </c>
    </row>
    <row r="645" spans="1:8" ht="15" customHeight="1">
      <c r="A645" s="357"/>
      <c r="B645" s="352"/>
      <c r="C645" s="353"/>
      <c r="D645" s="45" t="s">
        <v>171</v>
      </c>
      <c r="E645" s="75">
        <v>0.141</v>
      </c>
      <c r="G645" s="92" t="str">
        <f>CONCATENATE(D645," - ",E645,", ")</f>
        <v>1/core PVC Alumn. Cable scrap - 0.141, </v>
      </c>
      <c r="H645" s="1"/>
    </row>
    <row r="646" spans="1:8" ht="15" customHeight="1">
      <c r="A646" s="358"/>
      <c r="B646" s="354"/>
      <c r="C646" s="355"/>
      <c r="D646" s="34" t="s">
        <v>90</v>
      </c>
      <c r="E646" s="310">
        <v>0.512</v>
      </c>
      <c r="F646" s="1">
        <v>0.489</v>
      </c>
      <c r="G646" s="92" t="str">
        <f>CONCATENATE(D646," - ",E646,", ")</f>
        <v>2/core PVC Alumn. Cable scrap - 0.512, </v>
      </c>
      <c r="H646" s="1"/>
    </row>
    <row r="647" spans="1:8" ht="15" customHeight="1">
      <c r="A647" s="40"/>
      <c r="B647" s="341"/>
      <c r="C647" s="342"/>
      <c r="D647" s="71"/>
      <c r="E647" s="75"/>
      <c r="H647" s="1"/>
    </row>
    <row r="648" spans="1:8" ht="15" customHeight="1">
      <c r="A648" s="40"/>
      <c r="B648" s="341"/>
      <c r="C648" s="342"/>
      <c r="D648" s="223"/>
      <c r="E648" s="44">
        <f>SUM(E650:E653)</f>
        <v>3.5680000000000005</v>
      </c>
      <c r="H648" s="1"/>
    </row>
    <row r="649" spans="1:18" ht="15" customHeight="1">
      <c r="A649" s="40" t="s">
        <v>5</v>
      </c>
      <c r="B649" s="325" t="s">
        <v>17</v>
      </c>
      <c r="C649" s="326"/>
      <c r="D649" s="213" t="s">
        <v>18</v>
      </c>
      <c r="E649" s="40" t="s">
        <v>7</v>
      </c>
      <c r="G649" s="93" t="str">
        <f>CONCATENATE("Cable Scrap, Lying at ",B650,". Quantity in MT - ")</f>
        <v>Cable Scrap, Lying at OL Bhagta Bhai Ka. Quantity in MT - </v>
      </c>
      <c r="H649" s="427" t="str">
        <f ca="1">CONCATENATE(G649,G650,(INDIRECT(I650)),(INDIRECT(J650)),(INDIRECT(K650)),(INDIRECT(L650)),(INDIRECT(M650)),(INDIRECT(N650)),(INDIRECT(O650)),(INDIRECT(P650)),(INDIRECT(Q650)),(INDIRECT(R650)))</f>
        <v>Cable Scrap, Lying at OL Bhagta Bhai Ka. Quantity in MT - 4/core PVC Alumn. Cable scrap - 1.928, 2/core PVC Alumn. Cable scrap - 0.567, 3/ core XLPE Alu cable scrap - 0.671, ABC cable scrap (150 mm) - 0.402, </v>
      </c>
      <c r="I649" s="98" t="str">
        <f aca="true" ca="1" t="array" ref="I649">CELL("address",INDEX(G649:G673,MATCH(TRUE,ISBLANK(G649:G673),0)))</f>
        <v>$G$654</v>
      </c>
      <c r="J649" s="98">
        <f aca="true" t="array" ref="J649">MATCH(TRUE,ISBLANK(G649:G673),0)</f>
        <v>6</v>
      </c>
      <c r="K649" s="98">
        <f>J649-3</f>
        <v>3</v>
      </c>
      <c r="L649" s="98"/>
      <c r="M649" s="98"/>
      <c r="N649" s="98"/>
      <c r="O649" s="98"/>
      <c r="P649" s="98"/>
      <c r="Q649" s="98"/>
      <c r="R649" s="98"/>
    </row>
    <row r="650" spans="1:18" ht="15" customHeight="1">
      <c r="A650" s="328" t="s">
        <v>94</v>
      </c>
      <c r="B650" s="329" t="s">
        <v>100</v>
      </c>
      <c r="C650" s="329"/>
      <c r="D650" s="34" t="s">
        <v>91</v>
      </c>
      <c r="E650" s="303">
        <v>1.928</v>
      </c>
      <c r="F650" s="98">
        <v>1.366</v>
      </c>
      <c r="G650" s="92" t="str">
        <f>CONCATENATE(D650," - ",E650,", ")</f>
        <v>4/core PVC Alumn. Cable scrap - 1.928, </v>
      </c>
      <c r="H650" s="427"/>
      <c r="I650" s="98" t="str">
        <f ca="1">IF(J649&gt;=3,(MID(I649,2,1)&amp;MID(I649,4,3)-K649),CELL("address",Z650))</f>
        <v>G651</v>
      </c>
      <c r="J650" s="98" t="str">
        <f ca="1">IF(J649&gt;=4,(MID(I650,1,1)&amp;MID(I650,2,3)+1),CELL("address",AA650))</f>
        <v>G652</v>
      </c>
      <c r="K650" s="98" t="str">
        <f ca="1">IF(J649&gt;=5,(MID(J650,1,1)&amp;MID(J650,2,3)+1),CELL("address",AB650))</f>
        <v>G653</v>
      </c>
      <c r="L650" s="98" t="str">
        <f ca="1">IF(J649&gt;=6,(MID(K650,1,1)&amp;MID(K650,2,3)+1),CELL("address",AC650))</f>
        <v>G654</v>
      </c>
      <c r="M650" s="98" t="str">
        <f ca="1">IF(J649&gt;=7,(MID(L650,1,1)&amp;MID(L650,2,3)+1),CELL("address",AD650))</f>
        <v>$AD$650</v>
      </c>
      <c r="N650" s="98" t="str">
        <f ca="1">IF(J649&gt;=8,(MID(M650,1,1)&amp;MID(M650,2,3)+1),CELL("address",AE650))</f>
        <v>$AE$650</v>
      </c>
      <c r="O650" s="98" t="str">
        <f ca="1">IF(J649&gt;=9,(MID(N650,1,1)&amp;MID(N650,2,3)+1),CELL("address",AF650))</f>
        <v>$AF$650</v>
      </c>
      <c r="P650" s="98" t="str">
        <f ca="1">IF(J649&gt;=10,(MID(O650,1,1)&amp;MID(O650,2,3)+1),CELL("address",AG650))</f>
        <v>$AG$650</v>
      </c>
      <c r="Q650" s="98" t="str">
        <f ca="1">IF(J649&gt;=11,(MID(P650,1,1)&amp;MID(P650,2,3)+1),CELL("address",AH650))</f>
        <v>$AH$650</v>
      </c>
      <c r="R650" s="98" t="str">
        <f ca="1">IF(J649&gt;=12,(MID(Q650,1,1)&amp;MID(Q650,2,3)+1),CELL("address",AI650))</f>
        <v>$AI$650</v>
      </c>
    </row>
    <row r="651" spans="1:15" ht="15" customHeight="1">
      <c r="A651" s="328"/>
      <c r="B651" s="329"/>
      <c r="C651" s="329"/>
      <c r="D651" s="34" t="s">
        <v>90</v>
      </c>
      <c r="E651" s="310">
        <v>0.567</v>
      </c>
      <c r="F651" s="98">
        <v>0.353</v>
      </c>
      <c r="G651" s="92" t="str">
        <f>CONCATENATE(D651," - ",E651,", ")</f>
        <v>2/core PVC Alumn. Cable scrap - 0.567, </v>
      </c>
      <c r="H651" s="426"/>
      <c r="I651" s="98" t="e">
        <f ca="1">IF(G650&gt;=6,(MID(H651,1,1)&amp;MID(H651,2,3)+1),CELL("address",Z651))</f>
        <v>#VALUE!</v>
      </c>
      <c r="J651" s="98" t="e">
        <f ca="1">IF(G650&gt;=7,(MID(I651,1,1)&amp;MID(I651,2,3)+1),CELL("address",AA651))</f>
        <v>#VALUE!</v>
      </c>
      <c r="K651" s="98" t="e">
        <f ca="1">IF(G650&gt;=8,(MID(J651,1,1)&amp;MID(J651,2,3)+1),CELL("address",AB651))</f>
        <v>#VALUE!</v>
      </c>
      <c r="L651" s="98" t="e">
        <f ca="1">IF(G650&gt;=9,(MID(K651,1,1)&amp;MID(K651,2,3)+1),CELL("address",AC651))</f>
        <v>#VALUE!</v>
      </c>
      <c r="M651" s="98" t="e">
        <f ca="1">IF(G650&gt;=10,(MID(L651,1,1)&amp;MID(L651,2,3)+1),CELL("address",AD651))</f>
        <v>#VALUE!</v>
      </c>
      <c r="N651" s="98" t="e">
        <f ca="1">IF(G650&gt;=11,(MID(M651,1,1)&amp;MID(M651,2,3)+1),CELL("address",AE651))</f>
        <v>#VALUE!</v>
      </c>
      <c r="O651" s="98" t="e">
        <f ca="1">IF(G650&gt;=12,(MID(N651,1,1)&amp;MID(N651,2,3)+1),CELL("address",AF651))</f>
        <v>#VALUE!</v>
      </c>
    </row>
    <row r="652" spans="1:8" ht="15" customHeight="1">
      <c r="A652" s="328"/>
      <c r="B652" s="329"/>
      <c r="C652" s="329"/>
      <c r="D652" s="45" t="s">
        <v>92</v>
      </c>
      <c r="E652" s="75">
        <v>0.671</v>
      </c>
      <c r="G652" s="92" t="str">
        <f>CONCATENATE(D652," - ",E652,", ")</f>
        <v>3/ core XLPE Alu cable scrap - 0.671, </v>
      </c>
      <c r="H652" s="1"/>
    </row>
    <row r="653" spans="1:8" ht="15" customHeight="1">
      <c r="A653" s="328"/>
      <c r="B653" s="329"/>
      <c r="C653" s="329"/>
      <c r="D653" s="45" t="s">
        <v>246</v>
      </c>
      <c r="E653" s="75">
        <v>0.402</v>
      </c>
      <c r="G653" s="92" t="str">
        <f>CONCATENATE(D653," - ",E653,", ")</f>
        <v>ABC cable scrap (150 mm) - 0.402, </v>
      </c>
      <c r="H653" s="1"/>
    </row>
    <row r="654" spans="1:8" ht="15" customHeight="1">
      <c r="A654" s="39"/>
      <c r="B654" s="41"/>
      <c r="C654" s="42"/>
      <c r="D654" s="71"/>
      <c r="E654" s="75"/>
      <c r="H654" s="1"/>
    </row>
    <row r="655" spans="1:8" ht="15" customHeight="1">
      <c r="A655" s="40"/>
      <c r="B655" s="341"/>
      <c r="C655" s="342"/>
      <c r="D655" s="220"/>
      <c r="E655" s="52">
        <f>SUM(E657:E661)</f>
        <v>14.199</v>
      </c>
      <c r="H655" s="1"/>
    </row>
    <row r="656" spans="1:18" ht="15" customHeight="1">
      <c r="A656" s="40" t="s">
        <v>5</v>
      </c>
      <c r="B656" s="329" t="s">
        <v>17</v>
      </c>
      <c r="C656" s="329"/>
      <c r="D656" s="212" t="s">
        <v>18</v>
      </c>
      <c r="E656" s="40" t="s">
        <v>7</v>
      </c>
      <c r="G656" s="93" t="str">
        <f>CONCATENATE("Cable Scrap, Lying at ",B657,". Quantity in MT - ")</f>
        <v>Cable Scrap, Lying at CS Bathinda. Quantity in MT - </v>
      </c>
      <c r="H656" s="427" t="str">
        <f ca="1">CONCATENATE(G656,G657,(INDIRECT(I657)),(INDIRECT(J657)),(INDIRECT(K657)),(INDIRECT(L657)),(INDIRECT(M657)),(INDIRECT(N657)),(INDIRECT(O657)),(INDIRECT(P657)),(INDIRECT(Q657)),(INDIRECT(R657)))</f>
        <v>Cable Scrap, Lying at CS Bathinda. Quantity in MT - 2/core PVC Alumn. Cable scrap - 0.476, 4/core PVC Alumn. Cable scrap - 2.26, 1/ core XLPE Alu cable scrap - 0.148, 3/ core XLPE Alu cable scrap - 5.991, ABC cable scrap (70/95 mm) - 5.324, </v>
      </c>
      <c r="I656" s="98" t="str">
        <f aca="true" ca="1" t="array" ref="I656">CELL("address",INDEX(G656:G680,MATCH(TRUE,ISBLANK(G656:G680),0)))</f>
        <v>$G$662</v>
      </c>
      <c r="J656" s="98">
        <f aca="true" t="array" ref="J656">MATCH(TRUE,ISBLANK(G656:G680),0)</f>
        <v>7</v>
      </c>
      <c r="K656" s="98">
        <f>J656-3</f>
        <v>4</v>
      </c>
      <c r="L656" s="98"/>
      <c r="M656" s="98"/>
      <c r="N656" s="98"/>
      <c r="O656" s="98"/>
      <c r="P656" s="98"/>
      <c r="Q656" s="98"/>
      <c r="R656" s="98"/>
    </row>
    <row r="657" spans="1:18" ht="15" customHeight="1">
      <c r="A657" s="328" t="s">
        <v>96</v>
      </c>
      <c r="B657" s="329" t="s">
        <v>63</v>
      </c>
      <c r="C657" s="329"/>
      <c r="D657" s="34" t="s">
        <v>90</v>
      </c>
      <c r="E657" s="303">
        <v>0.476</v>
      </c>
      <c r="F657" s="1">
        <v>0.347</v>
      </c>
      <c r="G657" s="92" t="str">
        <f>CONCATENATE(D657," - ",E657,", ")</f>
        <v>2/core PVC Alumn. Cable scrap - 0.476, </v>
      </c>
      <c r="H657" s="427"/>
      <c r="I657" s="98" t="str">
        <f ca="1">IF(J656&gt;=3,(MID(I656,2,1)&amp;MID(I656,4,3)-K656),CELL("address",Z657))</f>
        <v>G658</v>
      </c>
      <c r="J657" s="98" t="str">
        <f ca="1">IF(J656&gt;=4,(MID(I657,1,1)&amp;MID(I657,2,3)+1),CELL("address",AA657))</f>
        <v>G659</v>
      </c>
      <c r="K657" s="98" t="str">
        <f ca="1">IF(J656&gt;=5,(MID(J657,1,1)&amp;MID(J657,2,3)+1),CELL("address",AB657))</f>
        <v>G660</v>
      </c>
      <c r="L657" s="98" t="str">
        <f ca="1">IF(J656&gt;=6,(MID(K657,1,1)&amp;MID(K657,2,3)+1),CELL("address",AC657))</f>
        <v>G661</v>
      </c>
      <c r="M657" s="98" t="str">
        <f ca="1">IF(J656&gt;=7,(MID(L657,1,1)&amp;MID(L657,2,3)+1),CELL("address",AD657))</f>
        <v>G662</v>
      </c>
      <c r="N657" s="98" t="str">
        <f ca="1">IF(J656&gt;=8,(MID(M657,1,1)&amp;MID(M657,2,3)+1),CELL("address",AE657))</f>
        <v>$AE$657</v>
      </c>
      <c r="O657" s="98" t="str">
        <f ca="1">IF(J656&gt;=9,(MID(N657,1,1)&amp;MID(N657,2,3)+1),CELL("address",AF657))</f>
        <v>$AF$657</v>
      </c>
      <c r="P657" s="98" t="str">
        <f ca="1">IF(J656&gt;=10,(MID(O657,1,1)&amp;MID(O657,2,3)+1),CELL("address",AG657))</f>
        <v>$AG$657</v>
      </c>
      <c r="Q657" s="98" t="str">
        <f ca="1">IF(J656&gt;=11,(MID(P657,1,1)&amp;MID(P657,2,3)+1),CELL("address",AH657))</f>
        <v>$AH$657</v>
      </c>
      <c r="R657" s="98" t="str">
        <f ca="1">IF(J656&gt;=12,(MID(Q657,1,1)&amp;MID(Q657,2,3)+1),CELL("address",AI657))</f>
        <v>$AI$657</v>
      </c>
    </row>
    <row r="658" spans="1:15" ht="15" customHeight="1">
      <c r="A658" s="328"/>
      <c r="B658" s="329"/>
      <c r="C658" s="329"/>
      <c r="D658" s="34" t="s">
        <v>91</v>
      </c>
      <c r="E658" s="303">
        <v>2.26</v>
      </c>
      <c r="F658" s="98">
        <v>2.086</v>
      </c>
      <c r="G658" s="92" t="str">
        <f>CONCATENATE(D658," - ",E658,", ")</f>
        <v>4/core PVC Alumn. Cable scrap - 2.26, </v>
      </c>
      <c r="H658" s="426"/>
      <c r="I658" s="98"/>
      <c r="J658" s="98"/>
      <c r="K658" s="98"/>
      <c r="L658" s="98"/>
      <c r="M658" s="98"/>
      <c r="N658" s="98"/>
      <c r="O658" s="98"/>
    </row>
    <row r="659" spans="1:15" ht="15" customHeight="1">
      <c r="A659" s="328"/>
      <c r="B659" s="329"/>
      <c r="C659" s="329"/>
      <c r="D659" s="34" t="s">
        <v>97</v>
      </c>
      <c r="E659" s="49">
        <v>0.148</v>
      </c>
      <c r="F659" s="98">
        <v>0.143</v>
      </c>
      <c r="G659" s="92" t="str">
        <f>CONCATENATE(D659," - ",E659,", ")</f>
        <v>1/ core XLPE Alu cable scrap - 0.148, </v>
      </c>
      <c r="H659" s="426"/>
      <c r="I659" s="98" t="e">
        <f ca="1">IF(G658&gt;=6,(MID(H659,1,1)&amp;MID(H659,2,3)+1),CELL("address",Z659))</f>
        <v>#VALUE!</v>
      </c>
      <c r="J659" s="98" t="e">
        <f ca="1">IF(G658&gt;=7,(MID(I659,1,1)&amp;MID(I659,2,3)+1),CELL("address",AA659))</f>
        <v>#VALUE!</v>
      </c>
      <c r="K659" s="98" t="e">
        <f ca="1">IF(G658&gt;=8,(MID(J659,1,1)&amp;MID(J659,2,3)+1),CELL("address",AB659))</f>
        <v>#VALUE!</v>
      </c>
      <c r="L659" s="98" t="e">
        <f ca="1">IF(G658&gt;=9,(MID(K659,1,1)&amp;MID(K659,2,3)+1),CELL("address",AC659))</f>
        <v>#VALUE!</v>
      </c>
      <c r="M659" s="98" t="e">
        <f ca="1">IF(G658&gt;=10,(MID(L659,1,1)&amp;MID(L659,2,3)+1),CELL("address",AD659))</f>
        <v>#VALUE!</v>
      </c>
      <c r="N659" s="98" t="e">
        <f ca="1">IF(G658&gt;=11,(MID(M659,1,1)&amp;MID(M659,2,3)+1),CELL("address",AE659))</f>
        <v>#VALUE!</v>
      </c>
      <c r="O659" s="98" t="e">
        <f ca="1">IF(G658&gt;=12,(MID(N659,1,1)&amp;MID(N659,2,3)+1),CELL("address",AF659))</f>
        <v>#VALUE!</v>
      </c>
    </row>
    <row r="660" spans="1:8" ht="15" customHeight="1">
      <c r="A660" s="328"/>
      <c r="B660" s="329"/>
      <c r="C660" s="329"/>
      <c r="D660" s="34" t="s">
        <v>92</v>
      </c>
      <c r="E660" s="77">
        <v>5.991</v>
      </c>
      <c r="F660" s="1">
        <v>5.469</v>
      </c>
      <c r="G660" s="92" t="str">
        <f>CONCATENATE(D660," - ",E660,", ")</f>
        <v>3/ core XLPE Alu cable scrap - 5.991, </v>
      </c>
      <c r="H660" s="1"/>
    </row>
    <row r="661" spans="1:8" ht="15" customHeight="1">
      <c r="A661" s="328"/>
      <c r="B661" s="329"/>
      <c r="C661" s="329"/>
      <c r="D661" s="45" t="s">
        <v>168</v>
      </c>
      <c r="E661" s="188">
        <v>5.324</v>
      </c>
      <c r="G661" s="92" t="str">
        <f>CONCATENATE(D661," - ",E661,", ")</f>
        <v>ABC cable scrap (70/95 mm) - 5.324, </v>
      </c>
      <c r="H661" s="1"/>
    </row>
    <row r="662" spans="1:8" ht="15" customHeight="1">
      <c r="A662" s="39"/>
      <c r="B662" s="41"/>
      <c r="C662" s="42"/>
      <c r="D662" s="76"/>
      <c r="E662" s="77"/>
      <c r="H662" s="1"/>
    </row>
    <row r="663" spans="1:8" ht="15" customHeight="1">
      <c r="A663" s="39"/>
      <c r="B663" s="221"/>
      <c r="C663" s="222"/>
      <c r="D663" s="223"/>
      <c r="E663" s="172">
        <f>SUM(E665:E668)</f>
        <v>4.923</v>
      </c>
      <c r="H663" s="1"/>
    </row>
    <row r="664" spans="1:18" ht="15" customHeight="1">
      <c r="A664" s="40" t="s">
        <v>5</v>
      </c>
      <c r="B664" s="325" t="s">
        <v>17</v>
      </c>
      <c r="C664" s="326"/>
      <c r="D664" s="213" t="s">
        <v>18</v>
      </c>
      <c r="E664" s="39" t="s">
        <v>7</v>
      </c>
      <c r="G664" s="93" t="str">
        <f>CONCATENATE("Cable Scrap, Lying at ",B665,". Quantity in MT - ")</f>
        <v>Cable Scrap, Lying at OL Mansa. Quantity in MT - </v>
      </c>
      <c r="H664" s="427" t="str">
        <f ca="1">CONCATENATE(G664,G665,(INDIRECT(I665)),(INDIRECT(J665)),(INDIRECT(K665)),(INDIRECT(L665)),(INDIRECT(M665)),(INDIRECT(N665)),(INDIRECT(O665)),(INDIRECT(P665)),(INDIRECT(Q665)),(INDIRECT(R665)))</f>
        <v>Cable Scrap, Lying at OL Mansa. Quantity in MT - 2/core PVC Alumn. Cable scrap - 0.821, 4/core PVC Alumn. Cable scrap - 2.131, 3/ core XLPE Alu cable scrap - 1.881, ABC cable scrap (70/95 mm) - 0.09, </v>
      </c>
      <c r="I664" s="98" t="str">
        <f aca="true" ca="1" t="array" ref="I664">CELL("address",INDEX(G664:G688,MATCH(TRUE,ISBLANK(G664:G688),0)))</f>
        <v>$G$669</v>
      </c>
      <c r="J664" s="98">
        <f aca="true" t="array" ref="J664">MATCH(TRUE,ISBLANK(G664:G688),0)</f>
        <v>6</v>
      </c>
      <c r="K664" s="98">
        <f>J664-3</f>
        <v>3</v>
      </c>
      <c r="L664" s="98"/>
      <c r="M664" s="98"/>
      <c r="N664" s="98"/>
      <c r="O664" s="98"/>
      <c r="P664" s="98"/>
      <c r="Q664" s="98"/>
      <c r="R664" s="98"/>
    </row>
    <row r="665" spans="1:18" ht="15" customHeight="1">
      <c r="A665" s="328" t="s">
        <v>189</v>
      </c>
      <c r="B665" s="329" t="s">
        <v>59</v>
      </c>
      <c r="C665" s="329"/>
      <c r="D665" s="34" t="s">
        <v>90</v>
      </c>
      <c r="E665" s="304">
        <v>0.821</v>
      </c>
      <c r="F665" s="98">
        <v>0.667</v>
      </c>
      <c r="G665" s="92" t="str">
        <f>CONCATENATE(D665," - ",E665,", ")</f>
        <v>2/core PVC Alumn. Cable scrap - 0.821, </v>
      </c>
      <c r="H665" s="427"/>
      <c r="I665" s="98" t="str">
        <f ca="1">IF(J664&gt;=3,(MID(I664,2,1)&amp;MID(I664,4,3)-K664),CELL("address",Z665))</f>
        <v>G666</v>
      </c>
      <c r="J665" s="98" t="str">
        <f ca="1">IF(J664&gt;=4,(MID(I665,1,1)&amp;MID(I665,2,3)+1),CELL("address",AA665))</f>
        <v>G667</v>
      </c>
      <c r="K665" s="98" t="str">
        <f ca="1">IF(J664&gt;=5,(MID(J665,1,1)&amp;MID(J665,2,3)+1),CELL("address",AB665))</f>
        <v>G668</v>
      </c>
      <c r="L665" s="98" t="str">
        <f ca="1">IF(J664&gt;=6,(MID(K665,1,1)&amp;MID(K665,2,3)+1),CELL("address",AC665))</f>
        <v>G669</v>
      </c>
      <c r="M665" s="98" t="str">
        <f ca="1">IF(J664&gt;=7,(MID(L665,1,1)&amp;MID(L665,2,3)+1),CELL("address",AD665))</f>
        <v>$AD$665</v>
      </c>
      <c r="N665" s="98" t="str">
        <f ca="1">IF(J664&gt;=8,(MID(M665,1,1)&amp;MID(M665,2,3)+1),CELL("address",AE665))</f>
        <v>$AE$665</v>
      </c>
      <c r="O665" s="98" t="str">
        <f ca="1">IF(J664&gt;=9,(MID(N665,1,1)&amp;MID(N665,2,3)+1),CELL("address",AF665))</f>
        <v>$AF$665</v>
      </c>
      <c r="P665" s="98" t="str">
        <f ca="1">IF(J664&gt;=10,(MID(O665,1,1)&amp;MID(O665,2,3)+1),CELL("address",AG665))</f>
        <v>$AG$665</v>
      </c>
      <c r="Q665" s="98" t="str">
        <f ca="1">IF(J664&gt;=11,(MID(P665,1,1)&amp;MID(P665,2,3)+1),CELL("address",AH665))</f>
        <v>$AH$665</v>
      </c>
      <c r="R665" s="98" t="str">
        <f ca="1">IF(J664&gt;=12,(MID(Q665,1,1)&amp;MID(Q665,2,3)+1),CELL("address",AI665))</f>
        <v>$AI$665</v>
      </c>
    </row>
    <row r="666" spans="1:15" ht="15" customHeight="1">
      <c r="A666" s="328"/>
      <c r="B666" s="329"/>
      <c r="C666" s="329"/>
      <c r="D666" s="34" t="s">
        <v>91</v>
      </c>
      <c r="E666" s="304">
        <v>2.131</v>
      </c>
      <c r="F666" s="98">
        <v>1.882</v>
      </c>
      <c r="G666" s="92" t="str">
        <f>CONCATENATE(D666," - ",E666,", ")</f>
        <v>4/core PVC Alumn. Cable scrap - 2.131, </v>
      </c>
      <c r="H666" s="426"/>
      <c r="I666" s="98" t="e">
        <f ca="1">IF(G665&gt;=6,(MID(H666,1,1)&amp;MID(H666,2,3)+1),CELL("address",Z666))</f>
        <v>#VALUE!</v>
      </c>
      <c r="J666" s="98" t="e">
        <f ca="1">IF(G665&gt;=7,(MID(I666,1,1)&amp;MID(I666,2,3)+1),CELL("address",AA666))</f>
        <v>#VALUE!</v>
      </c>
      <c r="K666" s="98" t="e">
        <f ca="1">IF(G665&gt;=8,(MID(J666,1,1)&amp;MID(J666,2,3)+1),CELL("address",AB666))</f>
        <v>#VALUE!</v>
      </c>
      <c r="L666" s="98" t="e">
        <f ca="1">IF(G665&gt;=9,(MID(K666,1,1)&amp;MID(K666,2,3)+1),CELL("address",AC666))</f>
        <v>#VALUE!</v>
      </c>
      <c r="M666" s="98" t="e">
        <f ca="1">IF(G665&gt;=10,(MID(L666,1,1)&amp;MID(L666,2,3)+1),CELL("address",AD666))</f>
        <v>#VALUE!</v>
      </c>
      <c r="N666" s="98" t="e">
        <f ca="1">IF(G665&gt;=11,(MID(M666,1,1)&amp;MID(M666,2,3)+1),CELL("address",AE666))</f>
        <v>#VALUE!</v>
      </c>
      <c r="O666" s="98" t="e">
        <f ca="1">IF(G665&gt;=12,(MID(N666,1,1)&amp;MID(N666,2,3)+1),CELL("address",AF666))</f>
        <v>#VALUE!</v>
      </c>
    </row>
    <row r="667" spans="1:8" ht="15" customHeight="1">
      <c r="A667" s="328"/>
      <c r="B667" s="329"/>
      <c r="C667" s="329"/>
      <c r="D667" s="45" t="s">
        <v>92</v>
      </c>
      <c r="E667" s="69">
        <v>1.881</v>
      </c>
      <c r="G667" s="92" t="str">
        <f>CONCATENATE(D667," - ",E667,", ")</f>
        <v>3/ core XLPE Alu cable scrap - 1.881, </v>
      </c>
      <c r="H667" s="1"/>
    </row>
    <row r="668" spans="1:8" ht="15" customHeight="1">
      <c r="A668" s="328"/>
      <c r="B668" s="329"/>
      <c r="C668" s="329"/>
      <c r="D668" s="45" t="s">
        <v>168</v>
      </c>
      <c r="E668" s="173">
        <v>0.09</v>
      </c>
      <c r="G668" s="92" t="str">
        <f>CONCATENATE(D668," - ",E668,", ")</f>
        <v>ABC cable scrap (70/95 mm) - 0.09, </v>
      </c>
      <c r="H668" s="1"/>
    </row>
    <row r="669" spans="1:8" ht="15" customHeight="1">
      <c r="A669" s="39"/>
      <c r="B669" s="41"/>
      <c r="C669" s="42"/>
      <c r="D669" s="76"/>
      <c r="E669" s="174"/>
      <c r="H669" s="1"/>
    </row>
    <row r="670" spans="1:8" ht="15" customHeight="1">
      <c r="A670" s="39"/>
      <c r="B670" s="221"/>
      <c r="C670" s="222"/>
      <c r="D670" s="223"/>
      <c r="E670" s="172">
        <f>SUM(E672:E675)</f>
        <v>13.115</v>
      </c>
      <c r="H670" s="1"/>
    </row>
    <row r="671" spans="1:18" ht="15" customHeight="1">
      <c r="A671" s="40" t="s">
        <v>5</v>
      </c>
      <c r="B671" s="325" t="s">
        <v>17</v>
      </c>
      <c r="C671" s="326"/>
      <c r="D671" s="213" t="s">
        <v>18</v>
      </c>
      <c r="E671" s="39" t="s">
        <v>7</v>
      </c>
      <c r="G671" s="93" t="str">
        <f>CONCATENATE("Cable Scrap, Lying at ",B672,". Quantity in MT - ")</f>
        <v>Cable Scrap, Lying at CS Kotkapura. Quantity in MT - </v>
      </c>
      <c r="H671" s="427" t="str">
        <f ca="1">CONCATENATE(G671,G672,(INDIRECT(I672)),(INDIRECT(J672)),(INDIRECT(K672)),(INDIRECT(L672)),(INDIRECT(M672)),(INDIRECT(N672)),(INDIRECT(O672)),(INDIRECT(P672)),(INDIRECT(Q672)),(INDIRECT(R672)))</f>
        <v>Cable Scrap, Lying at CS Kotkapura. Quantity in MT - 2/core PVC Alumn. Cable scrap - 1.616, 4/core PVC Alumn. Cable scrap - 3.056, 3/ core XLPE Alu cable scrap - 8.362, 1/ core XLPE Alu cable scrap - 0.081, </v>
      </c>
      <c r="I671" s="98" t="str">
        <f aca="true" ca="1" t="array" ref="I671">CELL("address",INDEX(G671:G696,MATCH(TRUE,ISBLANK(G671:G696),0)))</f>
        <v>$G$676</v>
      </c>
      <c r="J671" s="98">
        <f aca="true" t="array" ref="J671">MATCH(TRUE,ISBLANK(G671:G696),0)</f>
        <v>6</v>
      </c>
      <c r="K671" s="98">
        <f>J671-3</f>
        <v>3</v>
      </c>
      <c r="L671" s="98"/>
      <c r="M671" s="98"/>
      <c r="N671" s="98"/>
      <c r="O671" s="98"/>
      <c r="P671" s="98"/>
      <c r="Q671" s="98"/>
      <c r="R671" s="98"/>
    </row>
    <row r="672" spans="1:18" ht="15" customHeight="1">
      <c r="A672" s="328" t="s">
        <v>191</v>
      </c>
      <c r="B672" s="329" t="s">
        <v>43</v>
      </c>
      <c r="C672" s="329"/>
      <c r="D672" s="34" t="s">
        <v>90</v>
      </c>
      <c r="E672" s="304">
        <v>1.616</v>
      </c>
      <c r="F672" s="98">
        <v>1.324</v>
      </c>
      <c r="G672" s="92" t="str">
        <f>CONCATENATE(D672," - ",E672,", ")</f>
        <v>2/core PVC Alumn. Cable scrap - 1.616, </v>
      </c>
      <c r="H672" s="427"/>
      <c r="I672" s="98" t="str">
        <f ca="1">IF(J671&gt;=3,(MID(I671,2,1)&amp;MID(I671,4,3)-K671),CELL("address",Z672))</f>
        <v>G673</v>
      </c>
      <c r="J672" s="98" t="str">
        <f ca="1">IF(J671&gt;=4,(MID(I672,1,1)&amp;MID(I672,2,3)+1),CELL("address",AA672))</f>
        <v>G674</v>
      </c>
      <c r="K672" s="98" t="str">
        <f ca="1">IF(J671&gt;=5,(MID(J672,1,1)&amp;MID(J672,2,3)+1),CELL("address",AB672))</f>
        <v>G675</v>
      </c>
      <c r="L672" s="98" t="str">
        <f ca="1">IF(J671&gt;=6,(MID(K672,1,1)&amp;MID(K672,2,3)+1),CELL("address",AC672))</f>
        <v>G676</v>
      </c>
      <c r="M672" s="98" t="str">
        <f ca="1">IF(J671&gt;=7,(MID(L672,1,1)&amp;MID(L672,2,3)+1),CELL("address",AD672))</f>
        <v>$AD$672</v>
      </c>
      <c r="N672" s="98" t="str">
        <f ca="1">IF(J671&gt;=8,(MID(M672,1,1)&amp;MID(M672,2,3)+1),CELL("address",AE672))</f>
        <v>$AE$672</v>
      </c>
      <c r="O672" s="98" t="str">
        <f ca="1">IF(J671&gt;=9,(MID(N672,1,1)&amp;MID(N672,2,3)+1),CELL("address",AF672))</f>
        <v>$AF$672</v>
      </c>
      <c r="P672" s="98" t="str">
        <f ca="1">IF(J671&gt;=10,(MID(O672,1,1)&amp;MID(O672,2,3)+1),CELL("address",AG672))</f>
        <v>$AG$672</v>
      </c>
      <c r="Q672" s="98" t="str">
        <f ca="1">IF(J671&gt;=11,(MID(P672,1,1)&amp;MID(P672,2,3)+1),CELL("address",AH672))</f>
        <v>$AH$672</v>
      </c>
      <c r="R672" s="98" t="str">
        <f ca="1">IF(J671&gt;=12,(MID(Q672,1,1)&amp;MID(Q672,2,3)+1),CELL("address",AI672))</f>
        <v>$AI$672</v>
      </c>
    </row>
    <row r="673" spans="1:15" ht="15" customHeight="1">
      <c r="A673" s="328"/>
      <c r="B673" s="329"/>
      <c r="C673" s="329"/>
      <c r="D673" s="34" t="s">
        <v>91</v>
      </c>
      <c r="E673" s="304">
        <v>3.056</v>
      </c>
      <c r="F673" s="98">
        <v>2.291</v>
      </c>
      <c r="G673" s="92" t="str">
        <f>CONCATENATE(D673," - ",E673,", ")</f>
        <v>4/core PVC Alumn. Cable scrap - 3.056, </v>
      </c>
      <c r="H673" s="426"/>
      <c r="I673" s="98" t="e">
        <f ca="1">IF(G672&gt;=6,(MID(H673,1,1)&amp;MID(H673,2,3)+1),CELL("address",Z673))</f>
        <v>#VALUE!</v>
      </c>
      <c r="J673" s="98" t="e">
        <f ca="1">IF(G672&gt;=7,(MID(I673,1,1)&amp;MID(I673,2,3)+1),CELL("address",AA673))</f>
        <v>#VALUE!</v>
      </c>
      <c r="K673" s="98" t="e">
        <f ca="1">IF(G672&gt;=8,(MID(J673,1,1)&amp;MID(J673,2,3)+1),CELL("address",AB673))</f>
        <v>#VALUE!</v>
      </c>
      <c r="L673" s="98" t="e">
        <f ca="1">IF(G672&gt;=9,(MID(K673,1,1)&amp;MID(K673,2,3)+1),CELL("address",AC673))</f>
        <v>#VALUE!</v>
      </c>
      <c r="M673" s="98" t="e">
        <f ca="1">IF(G672&gt;=10,(MID(L673,1,1)&amp;MID(L673,2,3)+1),CELL("address",AD673))</f>
        <v>#VALUE!</v>
      </c>
      <c r="N673" s="98" t="e">
        <f ca="1">IF(G672&gt;=11,(MID(M673,1,1)&amp;MID(M673,2,3)+1),CELL("address",AE673))</f>
        <v>#VALUE!</v>
      </c>
      <c r="O673" s="98" t="e">
        <f ca="1">IF(G672&gt;=12,(MID(N673,1,1)&amp;MID(N673,2,3)+1),CELL("address",AF673))</f>
        <v>#VALUE!</v>
      </c>
    </row>
    <row r="674" spans="1:8" ht="15" customHeight="1">
      <c r="A674" s="328"/>
      <c r="B674" s="329"/>
      <c r="C674" s="329"/>
      <c r="D674" s="34" t="s">
        <v>92</v>
      </c>
      <c r="E674" s="159">
        <v>8.362</v>
      </c>
      <c r="F674" s="1">
        <v>4.879</v>
      </c>
      <c r="G674" s="92" t="str">
        <f>CONCATENATE(D674," - ",E674,", ")</f>
        <v>3/ core XLPE Alu cable scrap - 8.362, </v>
      </c>
      <c r="H674" s="1"/>
    </row>
    <row r="675" spans="1:8" ht="15" customHeight="1">
      <c r="A675" s="328"/>
      <c r="B675" s="329"/>
      <c r="C675" s="329"/>
      <c r="D675" s="34" t="s">
        <v>97</v>
      </c>
      <c r="E675" s="159">
        <v>0.081</v>
      </c>
      <c r="F675" s="1">
        <v>0.061</v>
      </c>
      <c r="G675" s="92" t="str">
        <f>CONCATENATE(D675," - ",E675,", ")</f>
        <v>1/ core XLPE Alu cable scrap - 0.081, </v>
      </c>
      <c r="H675" s="1"/>
    </row>
    <row r="676" spans="1:8" ht="15" customHeight="1">
      <c r="A676" s="39"/>
      <c r="B676" s="41"/>
      <c r="C676" s="42"/>
      <c r="D676" s="34"/>
      <c r="E676" s="159"/>
      <c r="H676" s="1"/>
    </row>
    <row r="677" spans="1:8" ht="15" customHeight="1">
      <c r="A677" s="39"/>
      <c r="B677" s="221"/>
      <c r="C677" s="222"/>
      <c r="D677" s="223"/>
      <c r="E677" s="172">
        <f>SUM(E679:E682)</f>
        <v>4.889</v>
      </c>
      <c r="H677" s="1"/>
    </row>
    <row r="678" spans="1:18" ht="15" customHeight="1">
      <c r="A678" s="40" t="s">
        <v>5</v>
      </c>
      <c r="B678" s="325" t="s">
        <v>17</v>
      </c>
      <c r="C678" s="326"/>
      <c r="D678" s="213" t="s">
        <v>18</v>
      </c>
      <c r="E678" s="39" t="s">
        <v>7</v>
      </c>
      <c r="G678" s="93" t="str">
        <f>CONCATENATE("Cable Scrap, Lying at ",B679,". Quantity in MT - ")</f>
        <v>Cable Scrap, Lying at OL Patran. Quantity in MT - </v>
      </c>
      <c r="H678" s="427" t="str">
        <f ca="1">CONCATENATE(G678,G679,(INDIRECT(I679)),(INDIRECT(J679)),(INDIRECT(K679)),(INDIRECT(L679)),(INDIRECT(M679)),(INDIRECT(N679)),(INDIRECT(O679)),(INDIRECT(P679)),(INDIRECT(Q679)),(INDIRECT(R679)))</f>
        <v>Cable Scrap, Lying at OL Patran. Quantity in MT - 2/core PVC Alumn. Cable scrap - 0.791, 4/core PVC Alumn. Cable scrap - 1.325, 3/ core XLPE Alu cable scrap - 2.508, ABC cable scrap (150 mm) - 0.265, </v>
      </c>
      <c r="I678" s="98" t="str">
        <f aca="true" ca="1" t="array" ref="I678">CELL("address",INDEX(G678:G703,MATCH(TRUE,ISBLANK(G678:G703),0)))</f>
        <v>$G$683</v>
      </c>
      <c r="J678" s="98">
        <f aca="true" t="array" ref="J678">MATCH(TRUE,ISBLANK(G678:G703),0)</f>
        <v>6</v>
      </c>
      <c r="K678" s="98">
        <f>J678-3</f>
        <v>3</v>
      </c>
      <c r="L678" s="98"/>
      <c r="M678" s="98"/>
      <c r="N678" s="98"/>
      <c r="O678" s="98"/>
      <c r="P678" s="98"/>
      <c r="Q678" s="98"/>
      <c r="R678" s="98"/>
    </row>
    <row r="679" spans="1:18" ht="15" customHeight="1">
      <c r="A679" s="329" t="s">
        <v>167</v>
      </c>
      <c r="B679" s="329" t="s">
        <v>102</v>
      </c>
      <c r="C679" s="329"/>
      <c r="D679" s="34" t="s">
        <v>90</v>
      </c>
      <c r="E679" s="288">
        <v>0.791</v>
      </c>
      <c r="F679" s="98">
        <v>0.647</v>
      </c>
      <c r="G679" s="92" t="str">
        <f>CONCATENATE(D679," - ",E679,", ")</f>
        <v>2/core PVC Alumn. Cable scrap - 0.791, </v>
      </c>
      <c r="H679" s="427"/>
      <c r="I679" s="98" t="str">
        <f ca="1">IF(J678&gt;=3,(MID(I678,2,1)&amp;MID(I678,4,3)-K678),CELL("address",Z679))</f>
        <v>G680</v>
      </c>
      <c r="J679" s="98" t="str">
        <f ca="1">IF(J678&gt;=4,(MID(I679,1,1)&amp;MID(I679,2,3)+1),CELL("address",AA679))</f>
        <v>G681</v>
      </c>
      <c r="K679" s="98" t="str">
        <f ca="1">IF(J678&gt;=5,(MID(J679,1,1)&amp;MID(J679,2,3)+1),CELL("address",AB679))</f>
        <v>G682</v>
      </c>
      <c r="L679" s="98" t="str">
        <f ca="1">IF(J678&gt;=6,(MID(K679,1,1)&amp;MID(K679,2,3)+1),CELL("address",AC679))</f>
        <v>G683</v>
      </c>
      <c r="M679" s="98" t="str">
        <f ca="1">IF(J678&gt;=7,(MID(L679,1,1)&amp;MID(L679,2,3)+1),CELL("address",AD679))</f>
        <v>$AD$679</v>
      </c>
      <c r="N679" s="98" t="str">
        <f ca="1">IF(J678&gt;=8,(MID(M679,1,1)&amp;MID(M679,2,3)+1),CELL("address",AE679))</f>
        <v>$AE$679</v>
      </c>
      <c r="O679" s="98" t="str">
        <f ca="1">IF(J678&gt;=9,(MID(N679,1,1)&amp;MID(N679,2,3)+1),CELL("address",AF679))</f>
        <v>$AF$679</v>
      </c>
      <c r="P679" s="98" t="str">
        <f ca="1">IF(J678&gt;=10,(MID(O679,1,1)&amp;MID(O679,2,3)+1),CELL("address",AG679))</f>
        <v>$AG$679</v>
      </c>
      <c r="Q679" s="98" t="str">
        <f ca="1">IF(J678&gt;=11,(MID(P679,1,1)&amp;MID(P679,2,3)+1),CELL("address",AH679))</f>
        <v>$AH$679</v>
      </c>
      <c r="R679" s="98" t="str">
        <f ca="1">IF(J678&gt;=12,(MID(Q679,1,1)&amp;MID(Q679,2,3)+1),CELL("address",AI679))</f>
        <v>$AI$679</v>
      </c>
    </row>
    <row r="680" spans="1:15" ht="15" customHeight="1">
      <c r="A680" s="329"/>
      <c r="B680" s="329"/>
      <c r="C680" s="329"/>
      <c r="D680" s="34" t="s">
        <v>91</v>
      </c>
      <c r="E680" s="288">
        <v>1.325</v>
      </c>
      <c r="F680" s="98">
        <v>1.2</v>
      </c>
      <c r="G680" s="92" t="str">
        <f>CONCATENATE(D680," - ",E680,", ")</f>
        <v>4/core PVC Alumn. Cable scrap - 1.325, </v>
      </c>
      <c r="H680" s="426"/>
      <c r="I680" s="98" t="e">
        <f ca="1">IF(G679&gt;=6,(MID(H680,1,1)&amp;MID(H680,2,3)+1),CELL("address",Z680))</f>
        <v>#VALUE!</v>
      </c>
      <c r="J680" s="98" t="e">
        <f ca="1">IF(G679&gt;=7,(MID(I680,1,1)&amp;MID(I680,2,3)+1),CELL("address",AA680))</f>
        <v>#VALUE!</v>
      </c>
      <c r="K680" s="98" t="e">
        <f ca="1">IF(G679&gt;=8,(MID(J680,1,1)&amp;MID(J680,2,3)+1),CELL("address",AB680))</f>
        <v>#VALUE!</v>
      </c>
      <c r="L680" s="98" t="e">
        <f ca="1">IF(G679&gt;=9,(MID(K680,1,1)&amp;MID(K680,2,3)+1),CELL("address",AC680))</f>
        <v>#VALUE!</v>
      </c>
      <c r="M680" s="98" t="e">
        <f ca="1">IF(G679&gt;=10,(MID(L680,1,1)&amp;MID(L680,2,3)+1),CELL("address",AD680))</f>
        <v>#VALUE!</v>
      </c>
      <c r="N680" s="98" t="e">
        <f ca="1">IF(G679&gt;=11,(MID(M680,1,1)&amp;MID(M680,2,3)+1),CELL("address",AE680))</f>
        <v>#VALUE!</v>
      </c>
      <c r="O680" s="98" t="e">
        <f ca="1">IF(G679&gt;=12,(MID(N680,1,1)&amp;MID(N680,2,3)+1),CELL("address",AF680))</f>
        <v>#VALUE!</v>
      </c>
    </row>
    <row r="681" spans="1:8" ht="15" customHeight="1">
      <c r="A681" s="329"/>
      <c r="B681" s="329"/>
      <c r="C681" s="329"/>
      <c r="D681" s="34" t="s">
        <v>92</v>
      </c>
      <c r="E681" s="288">
        <v>2.508</v>
      </c>
      <c r="F681" s="1">
        <v>1.908</v>
      </c>
      <c r="G681" s="92" t="str">
        <f>CONCATENATE(D681," - ",E681,", ")</f>
        <v>3/ core XLPE Alu cable scrap - 2.508, </v>
      </c>
      <c r="H681" s="1"/>
    </row>
    <row r="682" spans="1:8" ht="15" customHeight="1">
      <c r="A682" s="329"/>
      <c r="B682" s="329"/>
      <c r="C682" s="329"/>
      <c r="D682" s="45" t="s">
        <v>246</v>
      </c>
      <c r="E682" s="69">
        <v>0.265</v>
      </c>
      <c r="G682" s="92" t="str">
        <f>CONCATENATE(D682," - ",E682,", ")</f>
        <v>ABC cable scrap (150 mm) - 0.265, </v>
      </c>
      <c r="H682" s="1"/>
    </row>
    <row r="683" spans="1:8" ht="15" customHeight="1">
      <c r="A683" s="39"/>
      <c r="B683" s="41"/>
      <c r="C683" s="42"/>
      <c r="D683" s="34"/>
      <c r="E683" s="159"/>
      <c r="H683" s="1"/>
    </row>
    <row r="684" spans="1:8" ht="15" customHeight="1">
      <c r="A684" s="39"/>
      <c r="B684" s="48"/>
      <c r="C684" s="214"/>
      <c r="D684" s="220"/>
      <c r="E684" s="175">
        <f>SUM(E686:E691)</f>
        <v>4.734</v>
      </c>
      <c r="F684" s="121"/>
      <c r="H684" s="1"/>
    </row>
    <row r="685" spans="1:18" ht="15" customHeight="1">
      <c r="A685" s="40" t="s">
        <v>5</v>
      </c>
      <c r="B685" s="325" t="s">
        <v>17</v>
      </c>
      <c r="C685" s="326"/>
      <c r="D685" s="213" t="s">
        <v>18</v>
      </c>
      <c r="E685" s="39" t="s">
        <v>7</v>
      </c>
      <c r="G685" s="93" t="str">
        <f>CONCATENATE("Cable Scrap, Lying at ",B686,". Quantity in MT - ")</f>
        <v>Cable Scrap, Lying at OL Ropar. Quantity in MT - </v>
      </c>
      <c r="H685" s="427" t="str">
        <f ca="1">CONCATENATE(G685,G686,(INDIRECT(I686)),(INDIRECT(J686)),(INDIRECT(K686)),(INDIRECT(L686)),(INDIRECT(M686)),(INDIRECT(N686)),(INDIRECT(O686)),(INDIRECT(P686)),(INDIRECT(Q686)),(INDIRECT(R686)))</f>
        <v>Cable Scrap, Lying at OL Ropar. Quantity in MT - 2/core PVC Alumn. Cable scrap - 0.788, 4/core PVC Alumn. Cable scrap - 0.812, 3/ core XLPE Alu cable scrap - 2.231, 1/core PVC Alumn. Cable scrap - 0.087, Alu.  seals scrap with lash wire - 0.066, 1/ core XLPE Alu cable scrap - 0.75, </v>
      </c>
      <c r="I685" s="98" t="str">
        <f aca="true" ca="1" t="array" ref="I685">CELL("address",INDEX(G685:G710,MATCH(TRUE,ISBLANK(G685:G710),0)))</f>
        <v>$G$692</v>
      </c>
      <c r="J685" s="98">
        <f aca="true" t="array" ref="J685">MATCH(TRUE,ISBLANK(G685:G710),0)</f>
        <v>8</v>
      </c>
      <c r="K685" s="98">
        <f>J685-3</f>
        <v>5</v>
      </c>
      <c r="L685" s="98"/>
      <c r="M685" s="98"/>
      <c r="N685" s="98"/>
      <c r="O685" s="98"/>
      <c r="P685" s="98"/>
      <c r="Q685" s="98"/>
      <c r="R685" s="98"/>
    </row>
    <row r="686" spans="1:18" ht="15" customHeight="1">
      <c r="A686" s="328" t="s">
        <v>169</v>
      </c>
      <c r="B686" s="329" t="s">
        <v>98</v>
      </c>
      <c r="C686" s="329"/>
      <c r="D686" s="34" t="s">
        <v>90</v>
      </c>
      <c r="E686" s="159">
        <v>0.788</v>
      </c>
      <c r="F686" s="1">
        <v>0.51</v>
      </c>
      <c r="G686" s="92" t="str">
        <f>CONCATENATE(D686," - ",E686,", ")</f>
        <v>2/core PVC Alumn. Cable scrap - 0.788, </v>
      </c>
      <c r="H686" s="427"/>
      <c r="I686" s="98" t="str">
        <f ca="1">IF(J685&gt;=3,(MID(I685,2,1)&amp;MID(I685,4,3)-K685),CELL("address",Z686))</f>
        <v>G687</v>
      </c>
      <c r="J686" s="98" t="str">
        <f ca="1">IF(J685&gt;=4,(MID(I686,1,1)&amp;MID(I686,2,3)+1),CELL("address",AA686))</f>
        <v>G688</v>
      </c>
      <c r="K686" s="98" t="str">
        <f ca="1">IF(J685&gt;=5,(MID(J686,1,1)&amp;MID(J686,2,3)+1),CELL("address",AB686))</f>
        <v>G689</v>
      </c>
      <c r="L686" s="98" t="str">
        <f ca="1">IF(J685&gt;=6,(MID(K686,1,1)&amp;MID(K686,2,3)+1),CELL("address",AC686))</f>
        <v>G690</v>
      </c>
      <c r="M686" s="98" t="str">
        <f ca="1">IF(J685&gt;=7,(MID(L686,1,1)&amp;MID(L686,2,3)+1),CELL("address",AD686))</f>
        <v>G691</v>
      </c>
      <c r="N686" s="98" t="str">
        <f ca="1">IF(J685&gt;=8,(MID(M686,1,1)&amp;MID(M686,2,3)+1),CELL("address",AE686))</f>
        <v>G692</v>
      </c>
      <c r="O686" s="98" t="str">
        <f ca="1">IF(J685&gt;=9,(MID(N686,1,1)&amp;MID(N686,2,3)+1),CELL("address",AF686))</f>
        <v>$AF$686</v>
      </c>
      <c r="P686" s="98" t="str">
        <f ca="1">IF(J685&gt;=10,(MID(O686,1,1)&amp;MID(O686,2,3)+1),CELL("address",AG686))</f>
        <v>$AG$686</v>
      </c>
      <c r="Q686" s="98" t="str">
        <f ca="1">IF(J685&gt;=11,(MID(P686,1,1)&amp;MID(P686,2,3)+1),CELL("address",AH686))</f>
        <v>$AH$686</v>
      </c>
      <c r="R686" s="98" t="str">
        <f ca="1">IF(J685&gt;=12,(MID(Q686,1,1)&amp;MID(Q686,2,3)+1),CELL("address",AI686))</f>
        <v>$AI$686</v>
      </c>
    </row>
    <row r="687" spans="1:15" ht="15" customHeight="1">
      <c r="A687" s="328"/>
      <c r="B687" s="329"/>
      <c r="C687" s="329"/>
      <c r="D687" s="34" t="s">
        <v>91</v>
      </c>
      <c r="E687" s="159">
        <v>0.812</v>
      </c>
      <c r="F687" s="98">
        <v>0.587</v>
      </c>
      <c r="G687" s="92" t="str">
        <f>CONCATENATE(D687," - ",E687,", ")</f>
        <v>4/core PVC Alumn. Cable scrap - 0.812, </v>
      </c>
      <c r="H687" s="426"/>
      <c r="I687" s="98"/>
      <c r="J687" s="98"/>
      <c r="K687" s="98"/>
      <c r="L687" s="98"/>
      <c r="M687" s="98"/>
      <c r="N687" s="98"/>
      <c r="O687" s="98"/>
    </row>
    <row r="688" spans="1:15" ht="15" customHeight="1">
      <c r="A688" s="328"/>
      <c r="B688" s="329"/>
      <c r="C688" s="329"/>
      <c r="D688" s="34" t="s">
        <v>92</v>
      </c>
      <c r="E688" s="159">
        <v>2.231</v>
      </c>
      <c r="F688" s="98">
        <v>1.639</v>
      </c>
      <c r="G688" s="92" t="str">
        <f>CONCATENATE(D688," - ",E688,", ")</f>
        <v>3/ core XLPE Alu cable scrap - 2.231, </v>
      </c>
      <c r="H688" s="426"/>
      <c r="I688" s="98" t="e">
        <f ca="1">IF(G687&gt;=6,(MID(H688,1,1)&amp;MID(H688,2,3)+1),CELL("address",Z688))</f>
        <v>#VALUE!</v>
      </c>
      <c r="J688" s="98" t="e">
        <f ca="1">IF(G687&gt;=7,(MID(I688,1,1)&amp;MID(I688,2,3)+1),CELL("address",AA688))</f>
        <v>#VALUE!</v>
      </c>
      <c r="K688" s="98" t="e">
        <f ca="1">IF(G687&gt;=8,(MID(J688,1,1)&amp;MID(J688,2,3)+1),CELL("address",AB688))</f>
        <v>#VALUE!</v>
      </c>
      <c r="L688" s="98" t="e">
        <f ca="1">IF(G687&gt;=9,(MID(K688,1,1)&amp;MID(K688,2,3)+1),CELL("address",AC688))</f>
        <v>#VALUE!</v>
      </c>
      <c r="M688" s="98" t="e">
        <f ca="1">IF(G687&gt;=10,(MID(L688,1,1)&amp;MID(L688,2,3)+1),CELL("address",AD688))</f>
        <v>#VALUE!</v>
      </c>
      <c r="N688" s="98" t="e">
        <f ca="1">IF(G687&gt;=11,(MID(M688,1,1)&amp;MID(M688,2,3)+1),CELL("address",AE688))</f>
        <v>#VALUE!</v>
      </c>
      <c r="O688" s="98" t="e">
        <f ca="1">IF(G687&gt;=12,(MID(N688,1,1)&amp;MID(N688,2,3)+1),CELL("address",AF688))</f>
        <v>#VALUE!</v>
      </c>
    </row>
    <row r="689" spans="1:8" ht="15" customHeight="1">
      <c r="A689" s="328"/>
      <c r="B689" s="329"/>
      <c r="C689" s="329"/>
      <c r="D689" s="34" t="s">
        <v>171</v>
      </c>
      <c r="E689" s="159">
        <v>0.087</v>
      </c>
      <c r="F689" s="1">
        <v>0.017</v>
      </c>
      <c r="G689" s="92" t="str">
        <f>CONCATENATE(D689," - ",E689,", ")</f>
        <v>1/core PVC Alumn. Cable scrap - 0.087, </v>
      </c>
      <c r="H689" s="1"/>
    </row>
    <row r="690" spans="1:8" ht="15" customHeight="1">
      <c r="A690" s="328"/>
      <c r="B690" s="329"/>
      <c r="C690" s="329"/>
      <c r="D690" s="34" t="s">
        <v>331</v>
      </c>
      <c r="E690" s="159">
        <v>0.066</v>
      </c>
      <c r="F690" s="1">
        <v>0.027</v>
      </c>
      <c r="G690" s="92" t="str">
        <f>CONCATENATE(D690," - ",E690,", ")</f>
        <v>Alu.  seals scrap with lash wire - 0.066, </v>
      </c>
      <c r="H690" s="1"/>
    </row>
    <row r="691" spans="1:8" ht="15" customHeight="1">
      <c r="A691" s="328"/>
      <c r="B691" s="329"/>
      <c r="C691" s="329"/>
      <c r="D691" s="34" t="s">
        <v>97</v>
      </c>
      <c r="E691" s="159">
        <v>0.75</v>
      </c>
      <c r="F691" s="1" t="s">
        <v>681</v>
      </c>
      <c r="G691" s="92" t="str">
        <f>CONCATENATE(D691," - ",E691,", ")</f>
        <v>1/ core XLPE Alu cable scrap - 0.75, </v>
      </c>
      <c r="H691" s="1"/>
    </row>
    <row r="692" spans="1:8" ht="15" customHeight="1">
      <c r="A692" s="39"/>
      <c r="B692" s="41"/>
      <c r="C692" s="42"/>
      <c r="D692" s="34"/>
      <c r="E692" s="159"/>
      <c r="H692" s="1"/>
    </row>
    <row r="693" spans="1:8" ht="15" customHeight="1">
      <c r="A693" s="39"/>
      <c r="B693" s="48"/>
      <c r="C693" s="214"/>
      <c r="D693" s="220"/>
      <c r="E693" s="175">
        <f>SUM(E695:E697)</f>
        <v>8.059000000000001</v>
      </c>
      <c r="H693" s="1"/>
    </row>
    <row r="694" spans="1:18" ht="15" customHeight="1">
      <c r="A694" s="40" t="s">
        <v>5</v>
      </c>
      <c r="B694" s="325" t="s">
        <v>17</v>
      </c>
      <c r="C694" s="326"/>
      <c r="D694" s="213" t="s">
        <v>18</v>
      </c>
      <c r="E694" s="39" t="s">
        <v>7</v>
      </c>
      <c r="F694" s="98"/>
      <c r="G694" s="93" t="str">
        <f>CONCATENATE("Cable Scrap, Lying at ",B695,". Quantity in MT - ")</f>
        <v>Cable Scrap, Lying at CS Malout. Quantity in MT - </v>
      </c>
      <c r="H694" s="427" t="str">
        <f ca="1">CONCATENATE(G694,G695,(INDIRECT(I695)),(INDIRECT(J695)),(INDIRECT(K695)),(INDIRECT(L695)),(INDIRECT(M695)),(INDIRECT(N695)),(INDIRECT(O695)),(INDIRECT(P695)),(INDIRECT(Q695)),(INDIRECT(R695)))</f>
        <v>Cable Scrap, Lying at CS Malout. Quantity in MT - 2/core PVC Alumn. Cable scrap - 1.4, 4/core PVC Alumn. Cable scrap - 1.941, 3/ core XLPE Alu cable scrap - 4.718, </v>
      </c>
      <c r="I694" s="98" t="str">
        <f aca="true" ca="1" t="array" ref="I694">CELL("address",INDEX(G694:G718,MATCH(TRUE,ISBLANK(G694:G718),0)))</f>
        <v>$G$698</v>
      </c>
      <c r="J694" s="98">
        <f aca="true" t="array" ref="J694">MATCH(TRUE,ISBLANK(G694:G718),0)</f>
        <v>5</v>
      </c>
      <c r="K694" s="98">
        <f>J694-3</f>
        <v>2</v>
      </c>
      <c r="L694" s="98"/>
      <c r="M694" s="98"/>
      <c r="N694" s="98"/>
      <c r="O694" s="98"/>
      <c r="P694" s="98"/>
      <c r="Q694" s="98"/>
      <c r="R694" s="98"/>
    </row>
    <row r="695" spans="1:18" ht="15" customHeight="1">
      <c r="A695" s="329" t="s">
        <v>170</v>
      </c>
      <c r="B695" s="329" t="s">
        <v>95</v>
      </c>
      <c r="C695" s="329"/>
      <c r="D695" s="34" t="s">
        <v>90</v>
      </c>
      <c r="E695" s="159">
        <v>1.4</v>
      </c>
      <c r="F695" s="98">
        <v>1.32</v>
      </c>
      <c r="G695" s="92" t="str">
        <f>CONCATENATE(D695," - ",E695,", ")</f>
        <v>2/core PVC Alumn. Cable scrap - 1.4, </v>
      </c>
      <c r="H695" s="427"/>
      <c r="I695" s="98" t="str">
        <f ca="1">IF(J694&gt;=3,(MID(I694,2,1)&amp;MID(I694,4,3)-K694),CELL("address",Z695))</f>
        <v>G696</v>
      </c>
      <c r="J695" s="98" t="str">
        <f ca="1">IF(J694&gt;=4,(MID(I695,1,1)&amp;MID(I695,2,3)+1),CELL("address",AA695))</f>
        <v>G697</v>
      </c>
      <c r="K695" s="98" t="str">
        <f ca="1">IF(J694&gt;=5,(MID(J695,1,1)&amp;MID(J695,2,3)+1),CELL("address",AB695))</f>
        <v>G698</v>
      </c>
      <c r="L695" s="98" t="str">
        <f ca="1">IF(J694&gt;=6,(MID(K695,1,1)&amp;MID(K695,2,3)+1),CELL("address",AC695))</f>
        <v>$AC$695</v>
      </c>
      <c r="M695" s="98" t="str">
        <f ca="1">IF(J694&gt;=7,(MID(L695,1,1)&amp;MID(L695,2,3)+1),CELL("address",AD695))</f>
        <v>$AD$695</v>
      </c>
      <c r="N695" s="98" t="str">
        <f ca="1">IF(J694&gt;=8,(MID(M695,1,1)&amp;MID(M695,2,3)+1),CELL("address",AE695))</f>
        <v>$AE$695</v>
      </c>
      <c r="O695" s="98" t="str">
        <f ca="1">IF(J694&gt;=9,(MID(N695,1,1)&amp;MID(N695,2,3)+1),CELL("address",AF695))</f>
        <v>$AF$695</v>
      </c>
      <c r="P695" s="98" t="str">
        <f ca="1">IF(J694&gt;=10,(MID(O695,1,1)&amp;MID(O695,2,3)+1),CELL("address",AG695))</f>
        <v>$AG$695</v>
      </c>
      <c r="Q695" s="98" t="str">
        <f ca="1">IF(J694&gt;=11,(MID(P695,1,1)&amp;MID(P695,2,3)+1),CELL("address",AH695))</f>
        <v>$AH$695</v>
      </c>
      <c r="R695" s="98" t="str">
        <f ca="1">IF(J694&gt;=12,(MID(Q695,1,1)&amp;MID(Q695,2,3)+1),CELL("address",AI695))</f>
        <v>$AI$695</v>
      </c>
    </row>
    <row r="696" spans="1:8" ht="15" customHeight="1">
      <c r="A696" s="329"/>
      <c r="B696" s="329"/>
      <c r="C696" s="329"/>
      <c r="D696" s="34" t="s">
        <v>91</v>
      </c>
      <c r="E696" s="159">
        <v>1.941</v>
      </c>
      <c r="F696" s="1">
        <v>1.595</v>
      </c>
      <c r="G696" s="92" t="str">
        <f>CONCATENATE(D696," - ",E696,", ")</f>
        <v>4/core PVC Alumn. Cable scrap - 1.941, </v>
      </c>
      <c r="H696" s="1"/>
    </row>
    <row r="697" spans="1:8" ht="15" customHeight="1">
      <c r="A697" s="329"/>
      <c r="B697" s="329"/>
      <c r="C697" s="329"/>
      <c r="D697" s="34" t="s">
        <v>92</v>
      </c>
      <c r="E697" s="159">
        <v>4.718</v>
      </c>
      <c r="F697" s="1">
        <v>4.638</v>
      </c>
      <c r="G697" s="92" t="str">
        <f>CONCATENATE(D697," - ",E697,", ")</f>
        <v>3/ core XLPE Alu cable scrap - 4.718, </v>
      </c>
      <c r="H697" s="1"/>
    </row>
    <row r="698" spans="1:8" ht="15" customHeight="1">
      <c r="A698" s="39"/>
      <c r="B698" s="41"/>
      <c r="C698" s="42"/>
      <c r="D698" s="45"/>
      <c r="E698" s="120"/>
      <c r="H698" s="1"/>
    </row>
    <row r="699" spans="1:8" ht="15" customHeight="1">
      <c r="A699" s="39"/>
      <c r="B699" s="48"/>
      <c r="C699" s="214"/>
      <c r="D699" s="220"/>
      <c r="E699" s="175">
        <f>SUM(E701:E704)</f>
        <v>3.774</v>
      </c>
      <c r="H699" s="1"/>
    </row>
    <row r="700" spans="1:18" ht="15" customHeight="1">
      <c r="A700" s="40" t="s">
        <v>5</v>
      </c>
      <c r="B700" s="325" t="s">
        <v>17</v>
      </c>
      <c r="C700" s="326"/>
      <c r="D700" s="213" t="s">
        <v>18</v>
      </c>
      <c r="E700" s="39" t="s">
        <v>7</v>
      </c>
      <c r="G700" s="93" t="str">
        <f>CONCATENATE("Cable Scrap, Lying at ",B701,". Quantity in MT - ")</f>
        <v>Cable Scrap, Lying at OL Nabha. Quantity in MT - </v>
      </c>
      <c r="H700" s="427" t="str">
        <f ca="1">CONCATENATE(G700,G701,(INDIRECT(I701)),(INDIRECT(J701)),(INDIRECT(K701)),(INDIRECT(L701)),(INDIRECT(M701)),(INDIRECT(N701)),(INDIRECT(O701)),(INDIRECT(P701)),(INDIRECT(Q701)),(INDIRECT(R701)))</f>
        <v>Cable Scrap, Lying at OL Nabha. Quantity in MT - 2/core PVC Alumn. Cable scrap - 1.202, 4/core PVC Alumn. Cable scrap - 1.039, 3/ core XLPE Alu cable scrap - 1.493, ABC cable scrap (70/95 mm) - 0.04, </v>
      </c>
      <c r="I700" s="98" t="str">
        <f aca="true" ca="1" t="array" ref="I700">CELL("address",INDEX(G700:G724,MATCH(TRUE,ISBLANK(G700:G724),0)))</f>
        <v>$G$705</v>
      </c>
      <c r="J700" s="98">
        <f aca="true" t="array" ref="J700">MATCH(TRUE,ISBLANK(G700:G724),0)</f>
        <v>6</v>
      </c>
      <c r="K700" s="98">
        <f>J700-3</f>
        <v>3</v>
      </c>
      <c r="L700" s="98"/>
      <c r="M700" s="98"/>
      <c r="N700" s="98"/>
      <c r="O700" s="98"/>
      <c r="P700" s="98"/>
      <c r="Q700" s="98"/>
      <c r="R700" s="98"/>
    </row>
    <row r="701" spans="1:18" ht="15" customHeight="1">
      <c r="A701" s="328" t="s">
        <v>172</v>
      </c>
      <c r="B701" s="329" t="s">
        <v>104</v>
      </c>
      <c r="C701" s="329"/>
      <c r="D701" s="34" t="s">
        <v>90</v>
      </c>
      <c r="E701" s="159">
        <v>1.202</v>
      </c>
      <c r="F701" s="98">
        <v>1.195</v>
      </c>
      <c r="G701" s="92" t="str">
        <f>CONCATENATE(D701," - ",E701,", ")</f>
        <v>2/core PVC Alumn. Cable scrap - 1.202, </v>
      </c>
      <c r="H701" s="427"/>
      <c r="I701" s="98" t="str">
        <f ca="1">IF(J700&gt;=3,(MID(I700,2,1)&amp;MID(I700,4,3)-K700),CELL("address",Z701))</f>
        <v>G702</v>
      </c>
      <c r="J701" s="98" t="str">
        <f ca="1">IF(J700&gt;=4,(MID(I701,1,1)&amp;MID(I701,2,3)+1),CELL("address",AA701))</f>
        <v>G703</v>
      </c>
      <c r="K701" s="98" t="str">
        <f ca="1">IF(J700&gt;=5,(MID(J701,1,1)&amp;MID(J701,2,3)+1),CELL("address",AB701))</f>
        <v>G704</v>
      </c>
      <c r="L701" s="98" t="str">
        <f ca="1">IF(J700&gt;=6,(MID(K701,1,1)&amp;MID(K701,2,3)+1),CELL("address",AC701))</f>
        <v>G705</v>
      </c>
      <c r="M701" s="98" t="str">
        <f ca="1">IF(J700&gt;=7,(MID(L701,1,1)&amp;MID(L701,2,3)+1),CELL("address",AD701))</f>
        <v>$AD$701</v>
      </c>
      <c r="N701" s="98" t="str">
        <f ca="1">IF(J700&gt;=8,(MID(M701,1,1)&amp;MID(M701,2,3)+1),CELL("address",AE701))</f>
        <v>$AE$701</v>
      </c>
      <c r="O701" s="98" t="str">
        <f ca="1">IF(J700&gt;=9,(MID(N701,1,1)&amp;MID(N701,2,3)+1),CELL("address",AF701))</f>
        <v>$AF$701</v>
      </c>
      <c r="P701" s="98" t="str">
        <f ca="1">IF(J700&gt;=10,(MID(O701,1,1)&amp;MID(O701,2,3)+1),CELL("address",AG701))</f>
        <v>$AG$701</v>
      </c>
      <c r="Q701" s="98" t="str">
        <f ca="1">IF(J700&gt;=11,(MID(P701,1,1)&amp;MID(P701,2,3)+1),CELL("address",AH701))</f>
        <v>$AH$701</v>
      </c>
      <c r="R701" s="98" t="str">
        <f ca="1">IF(J700&gt;=12,(MID(Q701,1,1)&amp;MID(Q701,2,3)+1),CELL("address",AI701))</f>
        <v>$AI$701</v>
      </c>
    </row>
    <row r="702" spans="1:15" ht="15" customHeight="1">
      <c r="A702" s="328"/>
      <c r="B702" s="329"/>
      <c r="C702" s="329"/>
      <c r="D702" s="34" t="s">
        <v>91</v>
      </c>
      <c r="E702" s="159">
        <v>1.039</v>
      </c>
      <c r="F702" s="98">
        <v>1.024</v>
      </c>
      <c r="G702" s="92" t="str">
        <f>CONCATENATE(D702," - ",E702,", ")</f>
        <v>4/core PVC Alumn. Cable scrap - 1.039, </v>
      </c>
      <c r="H702" s="426"/>
      <c r="I702" s="98" t="e">
        <f ca="1">IF(G701&gt;=6,(MID(H702,1,1)&amp;MID(H702,2,3)+1),CELL("address",Z702))</f>
        <v>#VALUE!</v>
      </c>
      <c r="J702" s="98" t="e">
        <f ca="1">IF(G701&gt;=7,(MID(I702,1,1)&amp;MID(I702,2,3)+1),CELL("address",AA702))</f>
        <v>#VALUE!</v>
      </c>
      <c r="K702" s="98" t="e">
        <f ca="1">IF(G701&gt;=8,(MID(J702,1,1)&amp;MID(J702,2,3)+1),CELL("address",AB702))</f>
        <v>#VALUE!</v>
      </c>
      <c r="L702" s="98" t="e">
        <f ca="1">IF(G701&gt;=9,(MID(K702,1,1)&amp;MID(K702,2,3)+1),CELL("address",AC702))</f>
        <v>#VALUE!</v>
      </c>
      <c r="M702" s="98" t="e">
        <f ca="1">IF(G701&gt;=10,(MID(L702,1,1)&amp;MID(L702,2,3)+1),CELL("address",AD702))</f>
        <v>#VALUE!</v>
      </c>
      <c r="N702" s="98" t="e">
        <f ca="1">IF(G701&gt;=11,(MID(M702,1,1)&amp;MID(M702,2,3)+1),CELL("address",AE702))</f>
        <v>#VALUE!</v>
      </c>
      <c r="O702" s="98" t="e">
        <f ca="1">IF(G701&gt;=12,(MID(N702,1,1)&amp;MID(N702,2,3)+1),CELL("address",AF702))</f>
        <v>#VALUE!</v>
      </c>
    </row>
    <row r="703" spans="1:8" ht="15" customHeight="1">
      <c r="A703" s="328"/>
      <c r="B703" s="329"/>
      <c r="C703" s="329"/>
      <c r="D703" s="34" t="s">
        <v>92</v>
      </c>
      <c r="E703" s="159">
        <v>1.493</v>
      </c>
      <c r="F703" s="1">
        <v>1.147</v>
      </c>
      <c r="G703" s="92" t="str">
        <f>CONCATENATE(D703," - ",E703,", ")</f>
        <v>3/ core XLPE Alu cable scrap - 1.493, </v>
      </c>
      <c r="H703" s="1"/>
    </row>
    <row r="704" spans="1:8" ht="15" customHeight="1">
      <c r="A704" s="328"/>
      <c r="B704" s="329"/>
      <c r="C704" s="329"/>
      <c r="D704" s="45" t="s">
        <v>168</v>
      </c>
      <c r="E704" s="120">
        <v>0.04</v>
      </c>
      <c r="G704" s="92" t="str">
        <f>CONCATENATE(D704," - ",E704,", ")</f>
        <v>ABC cable scrap (70/95 mm) - 0.04, </v>
      </c>
      <c r="H704" s="1"/>
    </row>
    <row r="705" spans="1:8" ht="15" customHeight="1">
      <c r="A705" s="39"/>
      <c r="B705" s="41"/>
      <c r="C705" s="42"/>
      <c r="D705" s="34"/>
      <c r="E705" s="159"/>
      <c r="H705" s="1"/>
    </row>
    <row r="706" spans="1:8" ht="15" customHeight="1">
      <c r="A706" s="39"/>
      <c r="B706" s="221"/>
      <c r="C706" s="222"/>
      <c r="D706" s="223"/>
      <c r="E706" s="172">
        <f>SUM(E708:E712)</f>
        <v>15.600000000000001</v>
      </c>
      <c r="H706" s="1"/>
    </row>
    <row r="707" spans="1:18" ht="15" customHeight="1">
      <c r="A707" s="40" t="s">
        <v>5</v>
      </c>
      <c r="B707" s="325" t="s">
        <v>17</v>
      </c>
      <c r="C707" s="326"/>
      <c r="D707" s="213" t="s">
        <v>18</v>
      </c>
      <c r="E707" s="39" t="s">
        <v>7</v>
      </c>
      <c r="G707" s="93" t="str">
        <f>CONCATENATE("Cable Scrap, Lying at ",B708,". Quantity in MT - ")</f>
        <v>Cable Scrap, Lying at CS Patiala. Quantity in MT - </v>
      </c>
      <c r="H707" s="427" t="str">
        <f ca="1">CONCATENATE(G707,G708,(INDIRECT(I708)),(INDIRECT(J708)),(INDIRECT(K708)),(INDIRECT(L708)),(INDIRECT(M708)),(INDIRECT(N708)),(INDIRECT(O708)),(INDIRECT(P708)),(INDIRECT(Q708)),(INDIRECT(R708)))</f>
        <v>Cable Scrap, Lying at CS Patiala. Quantity in MT - 1/core PVC Alumn. Cable scrap - 0.547, 2/core PVC Alumn. Cable scrap - 2.096, 4/core PVC Alumn. Cable scrap - 4.355, 3/ core XLPE Alu cable scrap - 3.2, ABC cable scrap (150 mm) - 5.402, </v>
      </c>
      <c r="I707" s="98" t="str">
        <f aca="true" ca="1" t="array" ref="I707">CELL("address",INDEX(G707:G731,MATCH(TRUE,ISBLANK(G707:G731),0)))</f>
        <v>$G$713</v>
      </c>
      <c r="J707" s="98">
        <f aca="true" t="array" ref="J707">MATCH(TRUE,ISBLANK(G707:G731),0)</f>
        <v>7</v>
      </c>
      <c r="K707" s="98">
        <f>J707-3</f>
        <v>4</v>
      </c>
      <c r="L707" s="98"/>
      <c r="M707" s="98"/>
      <c r="N707" s="98"/>
      <c r="O707" s="98"/>
      <c r="P707" s="98"/>
      <c r="Q707" s="98"/>
      <c r="R707" s="98"/>
    </row>
    <row r="708" spans="1:18" ht="15" customHeight="1">
      <c r="A708" s="328" t="s">
        <v>173</v>
      </c>
      <c r="B708" s="329" t="s">
        <v>52</v>
      </c>
      <c r="C708" s="329"/>
      <c r="D708" s="34" t="s">
        <v>171</v>
      </c>
      <c r="E708" s="306">
        <v>0.547</v>
      </c>
      <c r="F708" s="1">
        <v>0.343</v>
      </c>
      <c r="G708" s="92" t="str">
        <f>CONCATENATE(D708," - ",E708,", ")</f>
        <v>1/core PVC Alumn. Cable scrap - 0.547, </v>
      </c>
      <c r="H708" s="427"/>
      <c r="I708" s="98" t="str">
        <f ca="1">IF(J707&gt;=3,(MID(I707,2,1)&amp;MID(I707,4,3)-K707),CELL("address",Z708))</f>
        <v>G709</v>
      </c>
      <c r="J708" s="98" t="str">
        <f ca="1">IF(J707&gt;=4,(MID(I708,1,1)&amp;MID(I708,2,3)+1),CELL("address",AA708))</f>
        <v>G710</v>
      </c>
      <c r="K708" s="98" t="str">
        <f ca="1">IF(J707&gt;=5,(MID(J708,1,1)&amp;MID(J708,2,3)+1),CELL("address",AB708))</f>
        <v>G711</v>
      </c>
      <c r="L708" s="98" t="str">
        <f ca="1">IF(J707&gt;=6,(MID(K708,1,1)&amp;MID(K708,2,3)+1),CELL("address",AC708))</f>
        <v>G712</v>
      </c>
      <c r="M708" s="98" t="str">
        <f ca="1">IF(J707&gt;=7,(MID(L708,1,1)&amp;MID(L708,2,3)+1),CELL("address",AD708))</f>
        <v>G713</v>
      </c>
      <c r="N708" s="98" t="str">
        <f ca="1">IF(J707&gt;=8,(MID(M708,1,1)&amp;MID(M708,2,3)+1),CELL("address",AE708))</f>
        <v>$AE$708</v>
      </c>
      <c r="O708" s="98" t="str">
        <f ca="1">IF(J707&gt;=9,(MID(N708,1,1)&amp;MID(N708,2,3)+1),CELL("address",AF708))</f>
        <v>$AF$708</v>
      </c>
      <c r="P708" s="98" t="str">
        <f ca="1">IF(J707&gt;=10,(MID(O708,1,1)&amp;MID(O708,2,3)+1),CELL("address",AG708))</f>
        <v>$AG$708</v>
      </c>
      <c r="Q708" s="98" t="str">
        <f ca="1">IF(J707&gt;=11,(MID(P708,1,1)&amp;MID(P708,2,3)+1),CELL("address",AH708))</f>
        <v>$AH$708</v>
      </c>
      <c r="R708" s="98" t="str">
        <f ca="1">IF(J707&gt;=12,(MID(Q708,1,1)&amp;MID(Q708,2,3)+1),CELL("address",AI708))</f>
        <v>$AI$708</v>
      </c>
    </row>
    <row r="709" spans="1:15" ht="15" customHeight="1">
      <c r="A709" s="328"/>
      <c r="B709" s="329"/>
      <c r="C709" s="329"/>
      <c r="D709" s="34" t="s">
        <v>90</v>
      </c>
      <c r="E709" s="304">
        <v>2.096</v>
      </c>
      <c r="F709" s="98">
        <v>1.725</v>
      </c>
      <c r="G709" s="92" t="str">
        <f>CONCATENATE(D709," - ",E709,", ")</f>
        <v>2/core PVC Alumn. Cable scrap - 2.096, </v>
      </c>
      <c r="H709" s="426"/>
      <c r="I709" s="98"/>
      <c r="J709" s="98"/>
      <c r="K709" s="98"/>
      <c r="L709" s="98"/>
      <c r="M709" s="98"/>
      <c r="N709" s="98"/>
      <c r="O709" s="98"/>
    </row>
    <row r="710" spans="1:15" ht="15" customHeight="1">
      <c r="A710" s="328"/>
      <c r="B710" s="329"/>
      <c r="C710" s="329"/>
      <c r="D710" s="34" t="s">
        <v>91</v>
      </c>
      <c r="E710" s="304">
        <v>4.355</v>
      </c>
      <c r="F710" s="98">
        <v>3.273</v>
      </c>
      <c r="G710" s="92" t="str">
        <f>CONCATENATE(D710," - ",E710,", ")</f>
        <v>4/core PVC Alumn. Cable scrap - 4.355, </v>
      </c>
      <c r="H710" s="426"/>
      <c r="I710" s="98" t="e">
        <f ca="1">IF(G709&gt;=6,(MID(H710,1,1)&amp;MID(H710,2,3)+1),CELL("address",Z710))</f>
        <v>#VALUE!</v>
      </c>
      <c r="J710" s="98" t="e">
        <f ca="1">IF(G709&gt;=7,(MID(I710,1,1)&amp;MID(I710,2,3)+1),CELL("address",AA710))</f>
        <v>#VALUE!</v>
      </c>
      <c r="K710" s="98" t="e">
        <f ca="1">IF(G709&gt;=8,(MID(J710,1,1)&amp;MID(J710,2,3)+1),CELL("address",AB710))</f>
        <v>#VALUE!</v>
      </c>
      <c r="L710" s="98" t="e">
        <f ca="1">IF(G709&gt;=9,(MID(K710,1,1)&amp;MID(K710,2,3)+1),CELL("address",AC710))</f>
        <v>#VALUE!</v>
      </c>
      <c r="M710" s="98" t="e">
        <f ca="1">IF(G709&gt;=10,(MID(L710,1,1)&amp;MID(L710,2,3)+1),CELL("address",AD710))</f>
        <v>#VALUE!</v>
      </c>
      <c r="N710" s="98" t="e">
        <f ca="1">IF(G709&gt;=11,(MID(M710,1,1)&amp;MID(M710,2,3)+1),CELL("address",AE710))</f>
        <v>#VALUE!</v>
      </c>
      <c r="O710" s="98" t="e">
        <f ca="1">IF(G709&gt;=12,(MID(N710,1,1)&amp;MID(N710,2,3)+1),CELL("address",AF710))</f>
        <v>#VALUE!</v>
      </c>
    </row>
    <row r="711" spans="1:8" ht="15" customHeight="1">
      <c r="A711" s="328"/>
      <c r="B711" s="329"/>
      <c r="C711" s="329"/>
      <c r="D711" s="45" t="s">
        <v>92</v>
      </c>
      <c r="E711" s="176">
        <v>3.2</v>
      </c>
      <c r="G711" s="92" t="str">
        <f>CONCATENATE(D711," - ",E711,", ")</f>
        <v>3/ core XLPE Alu cable scrap - 3.2, </v>
      </c>
      <c r="H711" s="1"/>
    </row>
    <row r="712" spans="1:8" ht="15" customHeight="1">
      <c r="A712" s="328"/>
      <c r="B712" s="329"/>
      <c r="C712" s="329"/>
      <c r="D712" s="34" t="s">
        <v>246</v>
      </c>
      <c r="E712" s="116">
        <v>5.402</v>
      </c>
      <c r="F712" s="1">
        <v>5.223</v>
      </c>
      <c r="G712" s="92" t="str">
        <f>CONCATENATE(D712," - ",E712,", ")</f>
        <v>ABC cable scrap (150 mm) - 5.402, </v>
      </c>
      <c r="H712" s="1"/>
    </row>
    <row r="713" spans="1:8" ht="15" customHeight="1">
      <c r="A713" s="39"/>
      <c r="B713" s="41"/>
      <c r="C713" s="42"/>
      <c r="D713" s="34"/>
      <c r="E713" s="159"/>
      <c r="H713" s="1"/>
    </row>
    <row r="714" spans="1:8" ht="15" customHeight="1">
      <c r="A714" s="35"/>
      <c r="E714" s="136">
        <f>SUM(E716:E719)</f>
        <v>2.785</v>
      </c>
      <c r="H714" s="1"/>
    </row>
    <row r="715" spans="1:18" ht="15" customHeight="1">
      <c r="A715" s="40" t="s">
        <v>5</v>
      </c>
      <c r="B715" s="325" t="s">
        <v>17</v>
      </c>
      <c r="C715" s="326"/>
      <c r="D715" s="213" t="s">
        <v>18</v>
      </c>
      <c r="E715" s="39" t="s">
        <v>7</v>
      </c>
      <c r="G715" s="93" t="str">
        <f>CONCATENATE("Cable Scrap, Lying at ",B716,". Quantity in MT - ")</f>
        <v>Cable Scrap, Lying at OL Rajpura. Quantity in MT - </v>
      </c>
      <c r="H715" s="427" t="str">
        <f ca="1">CONCATENATE(G715,G716,(INDIRECT(I716)),(INDIRECT(J716)),(INDIRECT(K716)),(INDIRECT(L716)),(INDIRECT(M716)),(INDIRECT(N716)),(INDIRECT(O716)),(INDIRECT(P716)),(INDIRECT(Q716)),(INDIRECT(R716)))</f>
        <v>Cable Scrap, Lying at OL Rajpura. Quantity in MT - 2/core PVC Alumn. Cable scrap - 0.78, 4/core PVC Alumn. Cable scrap - 0.609, 3/ core XLPE Alu cable scrap - 0.837, ABC cable scrap (70/95 mm) - 0.559, </v>
      </c>
      <c r="I715" s="98" t="str">
        <f aca="true" ca="1" t="array" ref="I715">CELL("address",INDEX(G715:G739,MATCH(TRUE,ISBLANK(G715:G739),0)))</f>
        <v>$G$720</v>
      </c>
      <c r="J715" s="98">
        <f aca="true" t="array" ref="J715">MATCH(TRUE,ISBLANK(G715:G739),0)</f>
        <v>6</v>
      </c>
      <c r="K715" s="98">
        <f>J715-3</f>
        <v>3</v>
      </c>
      <c r="L715" s="98"/>
      <c r="M715" s="98"/>
      <c r="N715" s="98"/>
      <c r="O715" s="98"/>
      <c r="P715" s="98"/>
      <c r="Q715" s="98"/>
      <c r="R715" s="98"/>
    </row>
    <row r="716" spans="1:18" ht="15" customHeight="1">
      <c r="A716" s="328" t="s">
        <v>174</v>
      </c>
      <c r="B716" s="329" t="s">
        <v>103</v>
      </c>
      <c r="C716" s="329"/>
      <c r="D716" s="34" t="s">
        <v>90</v>
      </c>
      <c r="E716" s="306">
        <v>0.78</v>
      </c>
      <c r="F716" s="98">
        <v>0.413</v>
      </c>
      <c r="G716" s="92" t="str">
        <f>CONCATENATE(D716," - ",E716,", ")</f>
        <v>2/core PVC Alumn. Cable scrap - 0.78, </v>
      </c>
      <c r="H716" s="427"/>
      <c r="I716" s="98" t="str">
        <f ca="1">IF(J715&gt;=3,(MID(I715,2,1)&amp;MID(I715,4,3)-K715),CELL("address",Z716))</f>
        <v>G717</v>
      </c>
      <c r="J716" s="98" t="str">
        <f ca="1">IF(J715&gt;=4,(MID(I716,1,1)&amp;MID(I716,2,3)+1),CELL("address",AA716))</f>
        <v>G718</v>
      </c>
      <c r="K716" s="98" t="str">
        <f ca="1">IF(J715&gt;=5,(MID(J716,1,1)&amp;MID(J716,2,3)+1),CELL("address",AB716))</f>
        <v>G719</v>
      </c>
      <c r="L716" s="98" t="str">
        <f ca="1">IF(J715&gt;=6,(MID(K716,1,1)&amp;MID(K716,2,3)+1),CELL("address",AC716))</f>
        <v>G720</v>
      </c>
      <c r="M716" s="98" t="str">
        <f ca="1">IF(J715&gt;=7,(MID(L716,1,1)&amp;MID(L716,2,3)+1),CELL("address",AD716))</f>
        <v>$AD$716</v>
      </c>
      <c r="N716" s="98" t="str">
        <f ca="1">IF(J715&gt;=8,(MID(M716,1,1)&amp;MID(M716,2,3)+1),CELL("address",AE716))</f>
        <v>$AE$716</v>
      </c>
      <c r="O716" s="98" t="str">
        <f ca="1">IF(J715&gt;=9,(MID(N716,1,1)&amp;MID(N716,2,3)+1),CELL("address",AF716))</f>
        <v>$AF$716</v>
      </c>
      <c r="P716" s="98" t="str">
        <f ca="1">IF(J715&gt;=10,(MID(O716,1,1)&amp;MID(O716,2,3)+1),CELL("address",AG716))</f>
        <v>$AG$716</v>
      </c>
      <c r="Q716" s="98" t="str">
        <f ca="1">IF(J715&gt;=11,(MID(P716,1,1)&amp;MID(P716,2,3)+1),CELL("address",AH716))</f>
        <v>$AH$716</v>
      </c>
      <c r="R716" s="98" t="str">
        <f ca="1">IF(J715&gt;=12,(MID(Q716,1,1)&amp;MID(Q716,2,3)+1),CELL("address",AI716))</f>
        <v>$AI$716</v>
      </c>
    </row>
    <row r="717" spans="1:15" ht="15" customHeight="1">
      <c r="A717" s="328"/>
      <c r="B717" s="329"/>
      <c r="C717" s="329"/>
      <c r="D717" s="34" t="s">
        <v>91</v>
      </c>
      <c r="E717" s="304">
        <v>0.609</v>
      </c>
      <c r="F717" s="98">
        <v>0.518</v>
      </c>
      <c r="G717" s="92" t="str">
        <f>CONCATENATE(D717," - ",E717,", ")</f>
        <v>4/core PVC Alumn. Cable scrap - 0.609, </v>
      </c>
      <c r="H717" s="426"/>
      <c r="I717" s="98" t="e">
        <f ca="1">IF(G716&gt;=6,(MID(H717,1,1)&amp;MID(H717,2,3)+1),CELL("address",Z717))</f>
        <v>#VALUE!</v>
      </c>
      <c r="J717" s="98" t="e">
        <f ca="1">IF(G716&gt;=7,(MID(I717,1,1)&amp;MID(I717,2,3)+1),CELL("address",AA717))</f>
        <v>#VALUE!</v>
      </c>
      <c r="K717" s="98" t="e">
        <f ca="1">IF(G716&gt;=8,(MID(J717,1,1)&amp;MID(J717,2,3)+1),CELL("address",AB717))</f>
        <v>#VALUE!</v>
      </c>
      <c r="L717" s="98" t="e">
        <f ca="1">IF(G716&gt;=9,(MID(K717,1,1)&amp;MID(K717,2,3)+1),CELL("address",AC717))</f>
        <v>#VALUE!</v>
      </c>
      <c r="M717" s="98" t="e">
        <f ca="1">IF(G716&gt;=10,(MID(L717,1,1)&amp;MID(L717,2,3)+1),CELL("address",AD717))</f>
        <v>#VALUE!</v>
      </c>
      <c r="N717" s="98" t="e">
        <f ca="1">IF(G716&gt;=11,(MID(M717,1,1)&amp;MID(M717,2,3)+1),CELL("address",AE717))</f>
        <v>#VALUE!</v>
      </c>
      <c r="O717" s="98" t="e">
        <f ca="1">IF(G716&gt;=12,(MID(N717,1,1)&amp;MID(N717,2,3)+1),CELL("address",AF717))</f>
        <v>#VALUE!</v>
      </c>
    </row>
    <row r="718" spans="1:8" ht="15" customHeight="1">
      <c r="A718" s="328"/>
      <c r="B718" s="329"/>
      <c r="C718" s="329"/>
      <c r="D718" s="34" t="s">
        <v>92</v>
      </c>
      <c r="E718" s="304">
        <v>0.837</v>
      </c>
      <c r="F718" s="1">
        <v>0.509</v>
      </c>
      <c r="G718" s="92" t="str">
        <f>CONCATENATE(D718," - ",E718,", ")</f>
        <v>3/ core XLPE Alu cable scrap - 0.837, </v>
      </c>
      <c r="H718" s="1"/>
    </row>
    <row r="719" spans="1:8" ht="15" customHeight="1">
      <c r="A719" s="328"/>
      <c r="B719" s="329"/>
      <c r="C719" s="329"/>
      <c r="D719" s="45" t="s">
        <v>168</v>
      </c>
      <c r="E719" s="120">
        <v>0.559</v>
      </c>
      <c r="G719" s="92" t="str">
        <f>CONCATENATE(D719," - ",E719,", ")</f>
        <v>ABC cable scrap (70/95 mm) - 0.559, </v>
      </c>
      <c r="H719" s="1"/>
    </row>
    <row r="720" spans="1:8" ht="15" customHeight="1">
      <c r="A720" s="39"/>
      <c r="B720" s="41"/>
      <c r="C720" s="42"/>
      <c r="D720" s="45"/>
      <c r="E720" s="120"/>
      <c r="H720" s="1"/>
    </row>
    <row r="721" spans="1:8" ht="15" customHeight="1">
      <c r="A721" s="39"/>
      <c r="B721" s="221"/>
      <c r="C721" s="222"/>
      <c r="D721" s="223"/>
      <c r="E721" s="172">
        <f>SUM(E723:E726)</f>
        <v>5.704000000000001</v>
      </c>
      <c r="H721" s="1"/>
    </row>
    <row r="722" spans="1:18" ht="15" customHeight="1">
      <c r="A722" s="40" t="s">
        <v>5</v>
      </c>
      <c r="B722" s="325" t="s">
        <v>17</v>
      </c>
      <c r="C722" s="326"/>
      <c r="D722" s="213" t="s">
        <v>18</v>
      </c>
      <c r="E722" s="39" t="s">
        <v>7</v>
      </c>
      <c r="G722" s="93" t="str">
        <f>CONCATENATE("Cable Scrap, Lying at ",B723,". Quantity in MT - ")</f>
        <v>Cable Scrap, Lying at OL Barnala. Quantity in MT - </v>
      </c>
      <c r="H722" s="427" t="str">
        <f ca="1">CONCATENATE(G722,G723,(INDIRECT(I723)),(INDIRECT(J723)),(INDIRECT(K723)),(INDIRECT(L723)),(INDIRECT(M723)),(INDIRECT(N723)),(INDIRECT(O723)),(INDIRECT(P723)),(INDIRECT(Q723)),(INDIRECT(R723)))</f>
        <v>Cable Scrap, Lying at OL Barnala. Quantity in MT - 2/core PVC Alumn. Cable scrap - 0.684, 4/core PVC Alumn. Cable scrap - 1.564, 3/ core XLPE Alu cable scrap - 3.386, 1/ core XLPE Alu cable scrap - 0.07, </v>
      </c>
      <c r="I722" s="98" t="str">
        <f aca="true" ca="1" t="array" ref="I722">CELL("address",INDEX(G722:G746,MATCH(TRUE,ISBLANK(G722:G746),0)))</f>
        <v>$G$727</v>
      </c>
      <c r="J722" s="98">
        <f aca="true" t="array" ref="J722">MATCH(TRUE,ISBLANK(G722:G746),0)</f>
        <v>6</v>
      </c>
      <c r="K722" s="98">
        <f>J722-3</f>
        <v>3</v>
      </c>
      <c r="L722" s="98"/>
      <c r="M722" s="98"/>
      <c r="N722" s="98"/>
      <c r="O722" s="98"/>
      <c r="P722" s="98"/>
      <c r="Q722" s="98"/>
      <c r="R722" s="98"/>
    </row>
    <row r="723" spans="1:18" ht="15" customHeight="1">
      <c r="A723" s="329" t="s">
        <v>243</v>
      </c>
      <c r="B723" s="329" t="s">
        <v>190</v>
      </c>
      <c r="C723" s="329"/>
      <c r="D723" s="34" t="s">
        <v>90</v>
      </c>
      <c r="E723" s="288">
        <v>0.684</v>
      </c>
      <c r="F723" s="98">
        <v>0.53</v>
      </c>
      <c r="G723" s="92" t="str">
        <f>CONCATENATE(D723," - ",E723,", ")</f>
        <v>2/core PVC Alumn. Cable scrap - 0.684, </v>
      </c>
      <c r="H723" s="427"/>
      <c r="I723" s="98" t="str">
        <f ca="1">IF(J722&gt;=3,(MID(I722,2,1)&amp;MID(I722,4,3)-K722),CELL("address",Z723))</f>
        <v>G724</v>
      </c>
      <c r="J723" s="98" t="str">
        <f ca="1">IF(J722&gt;=4,(MID(I723,1,1)&amp;MID(I723,2,3)+1),CELL("address",AA723))</f>
        <v>G725</v>
      </c>
      <c r="K723" s="98" t="str">
        <f ca="1">IF(J722&gt;=5,(MID(J723,1,1)&amp;MID(J723,2,3)+1),CELL("address",AB723))</f>
        <v>G726</v>
      </c>
      <c r="L723" s="98" t="str">
        <f ca="1">IF(J722&gt;=6,(MID(K723,1,1)&amp;MID(K723,2,3)+1),CELL("address",AC723))</f>
        <v>G727</v>
      </c>
      <c r="M723" s="98" t="str">
        <f ca="1">IF(J722&gt;=7,(MID(L723,1,1)&amp;MID(L723,2,3)+1),CELL("address",AD723))</f>
        <v>$AD$723</v>
      </c>
      <c r="N723" s="98" t="str">
        <f ca="1">IF(J722&gt;=8,(MID(M723,1,1)&amp;MID(M723,2,3)+1),CELL("address",AE723))</f>
        <v>$AE$723</v>
      </c>
      <c r="O723" s="98" t="str">
        <f ca="1">IF(J722&gt;=9,(MID(N723,1,1)&amp;MID(N723,2,3)+1),CELL("address",AF723))</f>
        <v>$AF$723</v>
      </c>
      <c r="P723" s="98" t="str">
        <f ca="1">IF(J722&gt;=10,(MID(O723,1,1)&amp;MID(O723,2,3)+1),CELL("address",AG723))</f>
        <v>$AG$723</v>
      </c>
      <c r="Q723" s="98" t="str">
        <f ca="1">IF(J722&gt;=11,(MID(P723,1,1)&amp;MID(P723,2,3)+1),CELL("address",AH723))</f>
        <v>$AH$723</v>
      </c>
      <c r="R723" s="98" t="str">
        <f ca="1">IF(J722&gt;=12,(MID(Q723,1,1)&amp;MID(Q723,2,3)+1),CELL("address",AI723))</f>
        <v>$AI$723</v>
      </c>
    </row>
    <row r="724" spans="1:15" ht="15" customHeight="1">
      <c r="A724" s="329"/>
      <c r="B724" s="329"/>
      <c r="C724" s="329"/>
      <c r="D724" s="34" t="s">
        <v>91</v>
      </c>
      <c r="E724" s="288">
        <v>1.564</v>
      </c>
      <c r="F724" s="98">
        <v>0.989</v>
      </c>
      <c r="G724" s="92" t="str">
        <f>CONCATENATE(D724," - ",E724,", ")</f>
        <v>4/core PVC Alumn. Cable scrap - 1.564, </v>
      </c>
      <c r="H724" s="426"/>
      <c r="I724" s="98" t="e">
        <f ca="1">IF(G723&gt;=6,(MID(H724,1,1)&amp;MID(H724,2,3)+1),CELL("address",Z724))</f>
        <v>#VALUE!</v>
      </c>
      <c r="J724" s="98" t="e">
        <f ca="1">IF(G723&gt;=7,(MID(I724,1,1)&amp;MID(I724,2,3)+1),CELL("address",AA724))</f>
        <v>#VALUE!</v>
      </c>
      <c r="K724" s="98" t="e">
        <f ca="1">IF(G723&gt;=8,(MID(J724,1,1)&amp;MID(J724,2,3)+1),CELL("address",AB724))</f>
        <v>#VALUE!</v>
      </c>
      <c r="L724" s="98" t="e">
        <f ca="1">IF(G723&gt;=9,(MID(K724,1,1)&amp;MID(K724,2,3)+1),CELL("address",AC724))</f>
        <v>#VALUE!</v>
      </c>
      <c r="M724" s="98" t="e">
        <f ca="1">IF(G723&gt;=10,(MID(L724,1,1)&amp;MID(L724,2,3)+1),CELL("address",AD724))</f>
        <v>#VALUE!</v>
      </c>
      <c r="N724" s="98" t="e">
        <f ca="1">IF(G723&gt;=11,(MID(M724,1,1)&amp;MID(M724,2,3)+1),CELL("address",AE724))</f>
        <v>#VALUE!</v>
      </c>
      <c r="O724" s="98" t="e">
        <f ca="1">IF(G723&gt;=12,(MID(N724,1,1)&amp;MID(N724,2,3)+1),CELL("address",AF724))</f>
        <v>#VALUE!</v>
      </c>
    </row>
    <row r="725" spans="1:8" ht="15" customHeight="1">
      <c r="A725" s="329"/>
      <c r="B725" s="329"/>
      <c r="C725" s="329"/>
      <c r="D725" s="34" t="s">
        <v>92</v>
      </c>
      <c r="E725" s="159">
        <v>3.386</v>
      </c>
      <c r="F725" s="1">
        <v>3.116</v>
      </c>
      <c r="G725" s="92" t="str">
        <f>CONCATENATE(D725," - ",E725,", ")</f>
        <v>3/ core XLPE Alu cable scrap - 3.386, </v>
      </c>
      <c r="H725" s="1"/>
    </row>
    <row r="726" spans="1:8" ht="15" customHeight="1">
      <c r="A726" s="329"/>
      <c r="B726" s="329"/>
      <c r="C726" s="329"/>
      <c r="D726" s="34" t="s">
        <v>97</v>
      </c>
      <c r="E726" s="159">
        <v>0.07</v>
      </c>
      <c r="F726" s="1">
        <v>0.018</v>
      </c>
      <c r="G726" s="92" t="str">
        <f>CONCATENATE(D726," - ",E726,", ")</f>
        <v>1/ core XLPE Alu cable scrap - 0.07, </v>
      </c>
      <c r="H726" s="1"/>
    </row>
    <row r="727" spans="1:8" ht="15" customHeight="1">
      <c r="A727" s="39"/>
      <c r="B727" s="115"/>
      <c r="C727" s="59"/>
      <c r="D727" s="116"/>
      <c r="E727" s="177"/>
      <c r="H727" s="1"/>
    </row>
    <row r="728" spans="1:8" ht="15" customHeight="1">
      <c r="A728" s="39"/>
      <c r="B728" s="221"/>
      <c r="C728" s="222"/>
      <c r="D728" s="223"/>
      <c r="E728" s="172">
        <f>SUM(E730:E735)</f>
        <v>6.319</v>
      </c>
      <c r="H728" s="1"/>
    </row>
    <row r="729" spans="1:27" ht="15" customHeight="1">
      <c r="A729" s="70" t="s">
        <v>5</v>
      </c>
      <c r="B729" s="347" t="s">
        <v>17</v>
      </c>
      <c r="C729" s="348"/>
      <c r="D729" s="213" t="s">
        <v>18</v>
      </c>
      <c r="E729" s="39" t="s">
        <v>7</v>
      </c>
      <c r="G729" s="93" t="str">
        <f>CONCATENATE("Cable Scrap, Lying at ",B730,". Quantity in MT - ")</f>
        <v>Cable Scrap, Lying at CS Sangrur. Quantity in MT - </v>
      </c>
      <c r="H729" s="427" t="str">
        <f ca="1">CONCATENATE(G729,G730,(INDIRECT(I730)),(INDIRECT(J730)),(INDIRECT(K730)),(INDIRECT(L730)),(INDIRECT(M730)),(INDIRECT(N730)),(INDIRECT(O730)),(INDIRECT(P730)),(INDIRECT(Q730)),(INDIRECT(R730)))</f>
        <v>Cable Scrap, Lying at CS Sangrur. Quantity in MT - 2/core PVC Alumn. Cable scrap - 0.464, 4/core PVC Alumn. Cable scrap - 0.838, 3/ core XLPE Alu cable scrap - 3.077, Lead seal scrap with lash wire - 0.05, ABC cable scrap (70/95 mm) - 1.825, 1/ core XLPE Alu cable scrap - 0.065, </v>
      </c>
      <c r="I729" s="98" t="str">
        <f aca="true" ca="1" t="array" ref="I729">CELL("address",INDEX(G729:G753,MATCH(TRUE,ISBLANK(G729:G753),0)))</f>
        <v>$G$736</v>
      </c>
      <c r="J729" s="98">
        <f aca="true" t="array" ref="J729">MATCH(TRUE,ISBLANK(G729:G753),0)</f>
        <v>8</v>
      </c>
      <c r="K729" s="98">
        <f>J729-3</f>
        <v>5</v>
      </c>
      <c r="L729" s="98"/>
      <c r="M729" s="98"/>
      <c r="N729" s="98"/>
      <c r="O729" s="98"/>
      <c r="P729" s="98"/>
      <c r="Q729" s="98"/>
      <c r="R729" s="98"/>
      <c r="T729" s="171"/>
      <c r="U729" s="171"/>
      <c r="V729" s="171"/>
      <c r="W729" s="171"/>
      <c r="X729" s="171"/>
      <c r="Y729" s="171"/>
      <c r="Z729" s="171"/>
      <c r="AA729" s="102"/>
    </row>
    <row r="730" spans="1:18" ht="15" customHeight="1">
      <c r="A730" s="329" t="s">
        <v>211</v>
      </c>
      <c r="B730" s="329" t="s">
        <v>79</v>
      </c>
      <c r="C730" s="329"/>
      <c r="D730" s="281" t="s">
        <v>90</v>
      </c>
      <c r="E730" s="217">
        <v>0.464</v>
      </c>
      <c r="F730" s="1">
        <v>0.298</v>
      </c>
      <c r="G730" s="92" t="str">
        <f aca="true" t="shared" si="2" ref="G730:G735">CONCATENATE(D730," - ",E730,", ")</f>
        <v>2/core PVC Alumn. Cable scrap - 0.464, </v>
      </c>
      <c r="H730" s="427"/>
      <c r="I730" s="98" t="str">
        <f ca="1">IF(J729&gt;=3,(MID(I729,2,1)&amp;MID(I729,4,3)-K729),CELL("address",Z730))</f>
        <v>G731</v>
      </c>
      <c r="J730" s="98" t="str">
        <f ca="1">IF(J729&gt;=4,(MID(I730,1,1)&amp;MID(I730,2,3)+1),CELL("address",AA730))</f>
        <v>G732</v>
      </c>
      <c r="K730" s="98" t="str">
        <f ca="1">IF(J729&gt;=5,(MID(J730,1,1)&amp;MID(J730,2,3)+1),CELL("address",AB730))</f>
        <v>G733</v>
      </c>
      <c r="L730" s="98" t="str">
        <f ca="1">IF(J729&gt;=6,(MID(K730,1,1)&amp;MID(K730,2,3)+1),CELL("address",AC730))</f>
        <v>G734</v>
      </c>
      <c r="M730" s="98" t="str">
        <f ca="1">IF(J729&gt;=7,(MID(L730,1,1)&amp;MID(L730,2,3)+1),CELL("address",AD730))</f>
        <v>G735</v>
      </c>
      <c r="N730" s="98" t="str">
        <f ca="1">IF(J729&gt;=8,(MID(M730,1,1)&amp;MID(M730,2,3)+1),CELL("address",AE730))</f>
        <v>G736</v>
      </c>
      <c r="O730" s="98" t="str">
        <f ca="1">IF(J729&gt;=9,(MID(N730,1,1)&amp;MID(N730,2,3)+1),CELL("address",AF730))</f>
        <v>$AF$730</v>
      </c>
      <c r="P730" s="98" t="str">
        <f ca="1">IF(J729&gt;=10,(MID(O730,1,1)&amp;MID(O730,2,3)+1),CELL("address",AG730))</f>
        <v>$AG$730</v>
      </c>
      <c r="Q730" s="98" t="str">
        <f ca="1">IF(J729&gt;=11,(MID(P730,1,1)&amp;MID(P730,2,3)+1),CELL("address",AH730))</f>
        <v>$AH$730</v>
      </c>
      <c r="R730" s="98" t="str">
        <f ca="1">IF(J729&gt;=12,(MID(Q730,1,1)&amp;MID(Q730,2,3)+1),CELL("address",AI730))</f>
        <v>$AI$730</v>
      </c>
    </row>
    <row r="731" spans="1:8" ht="15" customHeight="1">
      <c r="A731" s="329"/>
      <c r="B731" s="329"/>
      <c r="C731" s="329"/>
      <c r="D731" s="281" t="s">
        <v>91</v>
      </c>
      <c r="E731" s="217">
        <v>0.838</v>
      </c>
      <c r="F731" s="1">
        <v>0.539</v>
      </c>
      <c r="G731" s="92" t="str">
        <f t="shared" si="2"/>
        <v>4/core PVC Alumn. Cable scrap - 0.838, </v>
      </c>
      <c r="H731" s="1"/>
    </row>
    <row r="732" spans="1:15" ht="15" customHeight="1">
      <c r="A732" s="329"/>
      <c r="B732" s="329"/>
      <c r="C732" s="329"/>
      <c r="D732" s="281" t="s">
        <v>92</v>
      </c>
      <c r="E732" s="217">
        <v>3.077</v>
      </c>
      <c r="F732" s="98">
        <v>2.437</v>
      </c>
      <c r="G732" s="92" t="str">
        <f t="shared" si="2"/>
        <v>3/ core XLPE Alu cable scrap - 3.077, </v>
      </c>
      <c r="H732" s="426"/>
      <c r="I732" s="98"/>
      <c r="J732" s="98"/>
      <c r="K732" s="98"/>
      <c r="L732" s="98"/>
      <c r="M732" s="98"/>
      <c r="N732" s="98"/>
      <c r="O732" s="98"/>
    </row>
    <row r="733" spans="1:15" ht="15" customHeight="1">
      <c r="A733" s="329"/>
      <c r="B733" s="329"/>
      <c r="C733" s="329"/>
      <c r="D733" s="281" t="s">
        <v>188</v>
      </c>
      <c r="E733" s="116">
        <v>0.05</v>
      </c>
      <c r="F733" s="98">
        <v>0.036</v>
      </c>
      <c r="G733" s="92" t="str">
        <f t="shared" si="2"/>
        <v>Lead seal scrap with lash wire - 0.05, </v>
      </c>
      <c r="H733" s="426"/>
      <c r="I733" s="98" t="e">
        <f ca="1">IF(G732&gt;=6,(MID(H733,1,1)&amp;MID(H733,2,3)+1),CELL("address",Z733))</f>
        <v>#VALUE!</v>
      </c>
      <c r="J733" s="98" t="e">
        <f ca="1">IF(G732&gt;=7,(MID(I733,1,1)&amp;MID(I733,2,3)+1),CELL("address",AA733))</f>
        <v>#VALUE!</v>
      </c>
      <c r="K733" s="98" t="e">
        <f ca="1">IF(G732&gt;=8,(MID(J733,1,1)&amp;MID(J733,2,3)+1),CELL("address",AB733))</f>
        <v>#VALUE!</v>
      </c>
      <c r="L733" s="98" t="e">
        <f ca="1">IF(G732&gt;=9,(MID(K733,1,1)&amp;MID(K733,2,3)+1),CELL("address",AC733))</f>
        <v>#VALUE!</v>
      </c>
      <c r="M733" s="98" t="e">
        <f ca="1">IF(G732&gt;=10,(MID(L733,1,1)&amp;MID(L733,2,3)+1),CELL("address",AD733))</f>
        <v>#VALUE!</v>
      </c>
      <c r="N733" s="98" t="e">
        <f ca="1">IF(G732&gt;=11,(MID(M733,1,1)&amp;MID(M733,2,3)+1),CELL("address",AE733))</f>
        <v>#VALUE!</v>
      </c>
      <c r="O733" s="98" t="e">
        <f ca="1">IF(G732&gt;=12,(MID(N733,1,1)&amp;MID(N733,2,3)+1),CELL("address",AF733))</f>
        <v>#VALUE!</v>
      </c>
    </row>
    <row r="734" spans="1:8" ht="15" customHeight="1">
      <c r="A734" s="329"/>
      <c r="B734" s="329"/>
      <c r="C734" s="329"/>
      <c r="D734" s="282" t="s">
        <v>168</v>
      </c>
      <c r="E734" s="159">
        <v>1.825</v>
      </c>
      <c r="F734" s="1">
        <v>1.345</v>
      </c>
      <c r="G734" s="92" t="str">
        <f t="shared" si="2"/>
        <v>ABC cable scrap (70/95 mm) - 1.825, </v>
      </c>
      <c r="H734" s="1"/>
    </row>
    <row r="735" spans="1:8" ht="15" customHeight="1">
      <c r="A735" s="329"/>
      <c r="B735" s="329"/>
      <c r="C735" s="329"/>
      <c r="D735" s="81" t="s">
        <v>97</v>
      </c>
      <c r="E735" s="120">
        <v>0.065</v>
      </c>
      <c r="G735" s="92" t="str">
        <f t="shared" si="2"/>
        <v>1/ core XLPE Alu cable scrap - 0.065, </v>
      </c>
      <c r="H735" s="1"/>
    </row>
    <row r="736" spans="1:8" ht="15" customHeight="1">
      <c r="A736" s="50"/>
      <c r="B736" s="115"/>
      <c r="C736" s="59"/>
      <c r="D736" s="71"/>
      <c r="E736" s="120"/>
      <c r="F736" s="121"/>
      <c r="H736" s="1"/>
    </row>
    <row r="737" spans="1:8" ht="15" customHeight="1">
      <c r="A737" s="39"/>
      <c r="B737" s="221"/>
      <c r="C737" s="222"/>
      <c r="D737" s="223" t="s">
        <v>253</v>
      </c>
      <c r="E737" s="172">
        <f>SUM(E739:E742)</f>
        <v>2.549</v>
      </c>
      <c r="F737" s="121"/>
      <c r="H737" s="1"/>
    </row>
    <row r="738" spans="1:18" ht="15" customHeight="1">
      <c r="A738" s="40" t="s">
        <v>5</v>
      </c>
      <c r="B738" s="325" t="s">
        <v>17</v>
      </c>
      <c r="C738" s="326"/>
      <c r="D738" s="213" t="s">
        <v>18</v>
      </c>
      <c r="E738" s="39" t="s">
        <v>7</v>
      </c>
      <c r="G738" s="93" t="str">
        <f>CONCATENATE("Cable Scrap, Lying at ",B739,". Quantity in MT - ")</f>
        <v>Cable Scrap, Lying at CS Mohali. Quantity in MT - </v>
      </c>
      <c r="H738" s="427" t="str">
        <f ca="1">CONCATENATE(G738,G739,(INDIRECT(I739)),(INDIRECT(J739)),(INDIRECT(K739)),(INDIRECT(L739)),(INDIRECT(M739)),(INDIRECT(N739)),(INDIRECT(O739)),(INDIRECT(P739)),(INDIRECT(Q739)),(INDIRECT(R739)))</f>
        <v>Cable Scrap, Lying at CS Mohali. Quantity in MT - 4/core PVC Alumn. Cable scrap - 1.528, 3/ core XLPE Alu cable scrap - 0.533, 1/core PVC Alumn. Cable scrap - 0.183, 2/core PVC Alumn. Cable scrap - 0.305, </v>
      </c>
      <c r="I738" s="98" t="str">
        <f aca="true" ca="1" t="array" ref="I738">CELL("address",INDEX(G738:G762,MATCH(TRUE,ISBLANK(G738:G762),0)))</f>
        <v>$G$743</v>
      </c>
      <c r="J738" s="98">
        <f aca="true" t="array" ref="J738">MATCH(TRUE,ISBLANK(G738:G762),0)</f>
        <v>6</v>
      </c>
      <c r="K738" s="98">
        <f>J738-3</f>
        <v>3</v>
      </c>
      <c r="L738" s="98"/>
      <c r="M738" s="98"/>
      <c r="N738" s="98"/>
      <c r="O738" s="98"/>
      <c r="P738" s="98"/>
      <c r="Q738" s="98"/>
      <c r="R738" s="98"/>
    </row>
    <row r="739" spans="1:18" ht="15" customHeight="1">
      <c r="A739" s="328" t="s">
        <v>251</v>
      </c>
      <c r="B739" s="329" t="s">
        <v>62</v>
      </c>
      <c r="C739" s="329"/>
      <c r="D739" s="34" t="s">
        <v>91</v>
      </c>
      <c r="E739" s="313">
        <v>1.528</v>
      </c>
      <c r="F739" s="98">
        <v>1.297</v>
      </c>
      <c r="G739" s="92" t="str">
        <f>CONCATENATE(D739," - ",E739,", ")</f>
        <v>4/core PVC Alumn. Cable scrap - 1.528, </v>
      </c>
      <c r="H739" s="427"/>
      <c r="I739" s="98" t="str">
        <f ca="1">IF(J738&gt;=3,(MID(I738,2,1)&amp;MID(I738,4,3)-K738),CELL("address",Z739))</f>
        <v>G740</v>
      </c>
      <c r="J739" s="98" t="str">
        <f ca="1">IF(J738&gt;=4,(MID(I739,1,1)&amp;MID(I739,2,3)+1),CELL("address",AA739))</f>
        <v>G741</v>
      </c>
      <c r="K739" s="98" t="str">
        <f ca="1">IF(J738&gt;=5,(MID(J739,1,1)&amp;MID(J739,2,3)+1),CELL("address",AB739))</f>
        <v>G742</v>
      </c>
      <c r="L739" s="98" t="str">
        <f ca="1">IF(J738&gt;=6,(MID(K739,1,1)&amp;MID(K739,2,3)+1),CELL("address",AC739))</f>
        <v>G743</v>
      </c>
      <c r="M739" s="98" t="str">
        <f ca="1">IF(J738&gt;=7,(MID(L739,1,1)&amp;MID(L739,2,3)+1),CELL("address",AD739))</f>
        <v>$AD$739</v>
      </c>
      <c r="N739" s="98" t="str">
        <f ca="1">IF(J738&gt;=8,(MID(M739,1,1)&amp;MID(M739,2,3)+1),CELL("address",AE739))</f>
        <v>$AE$739</v>
      </c>
      <c r="O739" s="98" t="str">
        <f ca="1">IF(J738&gt;=9,(MID(N739,1,1)&amp;MID(N739,2,3)+1),CELL("address",AF739))</f>
        <v>$AF$739</v>
      </c>
      <c r="P739" s="98" t="str">
        <f ca="1">IF(J738&gt;=10,(MID(O739,1,1)&amp;MID(O739,2,3)+1),CELL("address",AG739))</f>
        <v>$AG$739</v>
      </c>
      <c r="Q739" s="98" t="str">
        <f ca="1">IF(J738&gt;=11,(MID(P739,1,1)&amp;MID(P739,2,3)+1),CELL("address",AH739))</f>
        <v>$AH$739</v>
      </c>
      <c r="R739" s="98" t="str">
        <f ca="1">IF(J738&gt;=12,(MID(Q739,1,1)&amp;MID(Q739,2,3)+1),CELL("address",AI739))</f>
        <v>$AI$739</v>
      </c>
    </row>
    <row r="740" spans="1:15" ht="15" customHeight="1">
      <c r="A740" s="328"/>
      <c r="B740" s="329"/>
      <c r="C740" s="329"/>
      <c r="D740" s="34" t="s">
        <v>92</v>
      </c>
      <c r="E740" s="315">
        <v>0.533</v>
      </c>
      <c r="F740" s="98">
        <v>0.208</v>
      </c>
      <c r="G740" s="92" t="str">
        <f>CONCATENATE(D740," - ",E740,", ")</f>
        <v>3/ core XLPE Alu cable scrap - 0.533, </v>
      </c>
      <c r="H740" s="426"/>
      <c r="I740" s="98" t="e">
        <f ca="1">IF(G739&gt;=6,(MID(H740,1,1)&amp;MID(H740,2,3)+1),CELL("address",Z740))</f>
        <v>#VALUE!</v>
      </c>
      <c r="J740" s="98" t="e">
        <f ca="1">IF(G739&gt;=7,(MID(I740,1,1)&amp;MID(I740,2,3)+1),CELL("address",AA740))</f>
        <v>#VALUE!</v>
      </c>
      <c r="K740" s="98" t="e">
        <f ca="1">IF(G739&gt;=8,(MID(J740,1,1)&amp;MID(J740,2,3)+1),CELL("address",AB740))</f>
        <v>#VALUE!</v>
      </c>
      <c r="L740" s="98" t="e">
        <f ca="1">IF(G739&gt;=9,(MID(K740,1,1)&amp;MID(K740,2,3)+1),CELL("address",AC740))</f>
        <v>#VALUE!</v>
      </c>
      <c r="M740" s="98" t="e">
        <f ca="1">IF(G739&gt;=10,(MID(L740,1,1)&amp;MID(L740,2,3)+1),CELL("address",AD740))</f>
        <v>#VALUE!</v>
      </c>
      <c r="N740" s="98" t="e">
        <f ca="1">IF(G739&gt;=11,(MID(M740,1,1)&amp;MID(M740,2,3)+1),CELL("address",AE740))</f>
        <v>#VALUE!</v>
      </c>
      <c r="O740" s="98" t="e">
        <f ca="1">IF(G739&gt;=12,(MID(N740,1,1)&amp;MID(N740,2,3)+1),CELL("address",AF740))</f>
        <v>#VALUE!</v>
      </c>
    </row>
    <row r="741" spans="1:8" ht="15" customHeight="1">
      <c r="A741" s="328"/>
      <c r="B741" s="329"/>
      <c r="C741" s="329"/>
      <c r="D741" s="34" t="s">
        <v>171</v>
      </c>
      <c r="E741" s="315">
        <v>0.183</v>
      </c>
      <c r="F741" s="1">
        <v>0.158</v>
      </c>
      <c r="G741" s="92" t="str">
        <f>CONCATENATE(D741," - ",E741,", ")</f>
        <v>1/core PVC Alumn. Cable scrap - 0.183, </v>
      </c>
      <c r="H741" s="1"/>
    </row>
    <row r="742" spans="1:8" ht="15" customHeight="1">
      <c r="A742" s="328"/>
      <c r="B742" s="329"/>
      <c r="C742" s="329"/>
      <c r="D742" s="34" t="s">
        <v>90</v>
      </c>
      <c r="E742" s="315">
        <v>0.305</v>
      </c>
      <c r="F742" s="1">
        <v>0.143</v>
      </c>
      <c r="G742" s="92" t="str">
        <f>CONCATENATE(D742," - ",E742,", ")</f>
        <v>2/core PVC Alumn. Cable scrap - 0.305, </v>
      </c>
      <c r="H742" s="1"/>
    </row>
    <row r="743" spans="1:8" ht="15" customHeight="1">
      <c r="A743" s="51"/>
      <c r="B743" s="54"/>
      <c r="C743" s="97"/>
      <c r="D743" s="34"/>
      <c r="E743" s="217"/>
      <c r="H743" s="1"/>
    </row>
    <row r="744" spans="1:8" ht="15" customHeight="1">
      <c r="A744" s="40"/>
      <c r="B744" s="341"/>
      <c r="C744" s="342"/>
      <c r="D744" s="220"/>
      <c r="E744" s="57">
        <f>SUM(E746:E748)</f>
        <v>2.266</v>
      </c>
      <c r="H744" s="1"/>
    </row>
    <row r="745" spans="1:18" ht="15" customHeight="1">
      <c r="A745" s="40" t="s">
        <v>5</v>
      </c>
      <c r="B745" s="329" t="s">
        <v>17</v>
      </c>
      <c r="C745" s="329"/>
      <c r="D745" s="212" t="s">
        <v>18</v>
      </c>
      <c r="E745" s="39" t="s">
        <v>7</v>
      </c>
      <c r="F745" s="98"/>
      <c r="G745" s="93" t="str">
        <f>CONCATENATE("Cable Scrap, Lying at ",B746,". Quantity in MT - ")</f>
        <v>Cable Scrap, Lying at OL Fazilka. Quantity in MT - </v>
      </c>
      <c r="H745" s="427" t="str">
        <f ca="1">CONCATENATE(G745,G746,(INDIRECT(I746)),(INDIRECT(J746)),(INDIRECT(K746)),(INDIRECT(L746)),(INDIRECT(M746)),(INDIRECT(N746)),(INDIRECT(O746)),(INDIRECT(P746)),(INDIRECT(Q746)),(INDIRECT(R746)))</f>
        <v>Cable Scrap, Lying at OL Fazilka. Quantity in MT - 2/core PVC Alumn. Cable scrap - 0.198, 4/core PVC Alumn. Cable scrap - 0.914, 3/ core XLPE Alu cable scrap - 1.154, </v>
      </c>
      <c r="I745" s="98" t="str">
        <f aca="true" ca="1" t="array" ref="I745">CELL("address",INDEX(G745:G769,MATCH(TRUE,ISBLANK(G745:G769),0)))</f>
        <v>$G$749</v>
      </c>
      <c r="J745" s="98">
        <f aca="true" t="array" ref="J745">MATCH(TRUE,ISBLANK(G745:G769),0)</f>
        <v>5</v>
      </c>
      <c r="K745" s="98">
        <f>J745-3</f>
        <v>2</v>
      </c>
      <c r="L745" s="98"/>
      <c r="M745" s="98"/>
      <c r="N745" s="98"/>
      <c r="O745" s="98"/>
      <c r="P745" s="98"/>
      <c r="Q745" s="98"/>
      <c r="R745" s="98"/>
    </row>
    <row r="746" spans="1:18" ht="15" customHeight="1">
      <c r="A746" s="328" t="s">
        <v>252</v>
      </c>
      <c r="B746" s="329" t="s">
        <v>112</v>
      </c>
      <c r="C746" s="329"/>
      <c r="D746" s="34" t="s">
        <v>90</v>
      </c>
      <c r="E746" s="315">
        <v>0.198</v>
      </c>
      <c r="F746" s="98">
        <v>0.106</v>
      </c>
      <c r="G746" s="92" t="str">
        <f>CONCATENATE(D746," - ",E746,", ")</f>
        <v>2/core PVC Alumn. Cable scrap - 0.198, </v>
      </c>
      <c r="H746" s="427"/>
      <c r="I746" s="98" t="str">
        <f ca="1">IF(J745&gt;=3,(MID(I745,2,1)&amp;MID(I745,4,3)-K745),CELL("address",Z746))</f>
        <v>G747</v>
      </c>
      <c r="J746" s="98" t="str">
        <f ca="1">IF(J745&gt;=4,(MID(I746,1,1)&amp;MID(I746,2,3)+1),CELL("address",AA746))</f>
        <v>G748</v>
      </c>
      <c r="K746" s="98" t="str">
        <f ca="1">IF(J745&gt;=5,(MID(J746,1,1)&amp;MID(J746,2,3)+1),CELL("address",AB746))</f>
        <v>G749</v>
      </c>
      <c r="L746" s="98" t="str">
        <f ca="1">IF(J745&gt;=6,(MID(K746,1,1)&amp;MID(K746,2,3)+1),CELL("address",AC746))</f>
        <v>$AC$746</v>
      </c>
      <c r="M746" s="98" t="str">
        <f ca="1">IF(J745&gt;=7,(MID(L746,1,1)&amp;MID(L746,2,3)+1),CELL("address",AD746))</f>
        <v>$AD$746</v>
      </c>
      <c r="N746" s="98" t="str">
        <f ca="1">IF(J745&gt;=8,(MID(M746,1,1)&amp;MID(M746,2,3)+1),CELL("address",AE746))</f>
        <v>$AE$746</v>
      </c>
      <c r="O746" s="98" t="str">
        <f ca="1">IF(J745&gt;=9,(MID(N746,1,1)&amp;MID(N746,2,3)+1),CELL("address",AF746))</f>
        <v>$AF$746</v>
      </c>
      <c r="P746" s="98" t="str">
        <f ca="1">IF(J745&gt;=10,(MID(O746,1,1)&amp;MID(O746,2,3)+1),CELL("address",AG746))</f>
        <v>$AG$746</v>
      </c>
      <c r="Q746" s="98" t="str">
        <f ca="1">IF(J745&gt;=11,(MID(P746,1,1)&amp;MID(P746,2,3)+1),CELL("address",AH746))</f>
        <v>$AH$746</v>
      </c>
      <c r="R746" s="98" t="str">
        <f ca="1">IF(J745&gt;=12,(MID(Q746,1,1)&amp;MID(Q746,2,3)+1),CELL("address",AI746))</f>
        <v>$AI$746</v>
      </c>
    </row>
    <row r="747" spans="1:8" ht="15" customHeight="1">
      <c r="A747" s="328"/>
      <c r="B747" s="329"/>
      <c r="C747" s="329"/>
      <c r="D747" s="34" t="s">
        <v>91</v>
      </c>
      <c r="E747" s="315">
        <v>0.914</v>
      </c>
      <c r="F747" s="1">
        <v>0.471</v>
      </c>
      <c r="G747" s="92" t="str">
        <f>CONCATENATE(D747," - ",E747,", ")</f>
        <v>4/core PVC Alumn. Cable scrap - 0.914, </v>
      </c>
      <c r="H747" s="1"/>
    </row>
    <row r="748" spans="1:8" ht="15" customHeight="1">
      <c r="A748" s="328"/>
      <c r="B748" s="329"/>
      <c r="C748" s="329"/>
      <c r="D748" s="81" t="s">
        <v>92</v>
      </c>
      <c r="E748" s="69">
        <v>1.154</v>
      </c>
      <c r="G748" s="92" t="str">
        <f>CONCATENATE(D748," - ",E748,", ")</f>
        <v>3/ core XLPE Alu cable scrap - 1.154, </v>
      </c>
      <c r="H748" s="1"/>
    </row>
    <row r="749" spans="1:8" ht="15" customHeight="1">
      <c r="A749" s="39"/>
      <c r="B749" s="41"/>
      <c r="C749" s="42"/>
      <c r="D749" s="45"/>
      <c r="E749" s="69"/>
      <c r="H749" s="1"/>
    </row>
    <row r="750" spans="1:8" ht="15" customHeight="1">
      <c r="A750" s="50"/>
      <c r="B750" s="221"/>
      <c r="C750" s="222"/>
      <c r="D750" s="80"/>
      <c r="E750" s="178">
        <f>SUM(E752:E755)</f>
        <v>7.575</v>
      </c>
      <c r="H750" s="1"/>
    </row>
    <row r="751" spans="1:18" ht="15" customHeight="1">
      <c r="A751" s="40" t="s">
        <v>5</v>
      </c>
      <c r="B751" s="325" t="s">
        <v>17</v>
      </c>
      <c r="C751" s="326"/>
      <c r="D751" s="213" t="s">
        <v>18</v>
      </c>
      <c r="E751" s="39" t="s">
        <v>7</v>
      </c>
      <c r="G751" s="93" t="str">
        <f>CONCATENATE("Cable Scrap, Lying at ",B752,". Quantity in MT - ")</f>
        <v>Cable Scrap, Lying at OL Malerkotla. Quantity in MT - </v>
      </c>
      <c r="H751" s="427" t="str">
        <f ca="1">CONCATENATE(G751,G752,(INDIRECT(I752)),(INDIRECT(J752)),(INDIRECT(K752)),(INDIRECT(L752)),(INDIRECT(M752)),(INDIRECT(N752)),(INDIRECT(O752)),(INDIRECT(P752)),(INDIRECT(Q752)),(INDIRECT(R752)))</f>
        <v>Cable Scrap, Lying at OL Malerkotla. Quantity in MT - 2/core PVC Alumn. Cable scrap - 0.84, 4/core PVC Alumn. Cable scrap - 1.18, 3/ core XLPE Alu cable scrap - 2.539, ABC cable scrap (70/95 mm) - 3.016, </v>
      </c>
      <c r="I751" s="98" t="str">
        <f aca="true" ca="1" t="array" ref="I751">CELL("address",INDEX(G751:G775,MATCH(TRUE,ISBLANK(G751:G775),0)))</f>
        <v>$G$756</v>
      </c>
      <c r="J751" s="98">
        <f aca="true" t="array" ref="J751">MATCH(TRUE,ISBLANK(G751:G775),0)</f>
        <v>6</v>
      </c>
      <c r="K751" s="98">
        <f>J751-3</f>
        <v>3</v>
      </c>
      <c r="L751" s="98"/>
      <c r="M751" s="98"/>
      <c r="N751" s="98"/>
      <c r="O751" s="98"/>
      <c r="P751" s="98"/>
      <c r="Q751" s="98"/>
      <c r="R751" s="98"/>
    </row>
    <row r="752" spans="1:18" ht="15" customHeight="1">
      <c r="A752" s="329" t="s">
        <v>264</v>
      </c>
      <c r="B752" s="329" t="s">
        <v>126</v>
      </c>
      <c r="C752" s="329"/>
      <c r="D752" s="34" t="s">
        <v>90</v>
      </c>
      <c r="E752" s="280">
        <v>0.84</v>
      </c>
      <c r="F752" s="98">
        <v>0.512</v>
      </c>
      <c r="G752" s="92" t="str">
        <f>CONCATENATE(D752," - ",E752,", ")</f>
        <v>2/core PVC Alumn. Cable scrap - 0.84, </v>
      </c>
      <c r="H752" s="427"/>
      <c r="I752" s="98" t="str">
        <f ca="1">IF(J751&gt;=3,(MID(I751,2,1)&amp;MID(I751,4,3)-K751),CELL("address",Z752))</f>
        <v>G753</v>
      </c>
      <c r="J752" s="98" t="str">
        <f ca="1">IF(J751&gt;=4,(MID(I752,1,1)&amp;MID(I752,2,3)+1),CELL("address",AA752))</f>
        <v>G754</v>
      </c>
      <c r="K752" s="98" t="str">
        <f ca="1">IF(J751&gt;=5,(MID(J752,1,1)&amp;MID(J752,2,3)+1),CELL("address",AB752))</f>
        <v>G755</v>
      </c>
      <c r="L752" s="98" t="str">
        <f ca="1">IF(J751&gt;=6,(MID(K752,1,1)&amp;MID(K752,2,3)+1),CELL("address",AC752))</f>
        <v>G756</v>
      </c>
      <c r="M752" s="98" t="str">
        <f ca="1">IF(J751&gt;=7,(MID(L752,1,1)&amp;MID(L752,2,3)+1),CELL("address",AD752))</f>
        <v>$AD$752</v>
      </c>
      <c r="N752" s="98" t="str">
        <f ca="1">IF(J751&gt;=8,(MID(M752,1,1)&amp;MID(M752,2,3)+1),CELL("address",AE752))</f>
        <v>$AE$752</v>
      </c>
      <c r="O752" s="98" t="str">
        <f ca="1">IF(J751&gt;=9,(MID(N752,1,1)&amp;MID(N752,2,3)+1),CELL("address",AF752))</f>
        <v>$AF$752</v>
      </c>
      <c r="P752" s="98" t="str">
        <f ca="1">IF(J751&gt;=10,(MID(O752,1,1)&amp;MID(O752,2,3)+1),CELL("address",AG752))</f>
        <v>$AG$752</v>
      </c>
      <c r="Q752" s="98" t="str">
        <f ca="1">IF(J751&gt;=11,(MID(P752,1,1)&amp;MID(P752,2,3)+1),CELL("address",AH752))</f>
        <v>$AH$752</v>
      </c>
      <c r="R752" s="98" t="str">
        <f ca="1">IF(J751&gt;=12,(MID(Q752,1,1)&amp;MID(Q752,2,3)+1),CELL("address",AI752))</f>
        <v>$AI$752</v>
      </c>
    </row>
    <row r="753" spans="1:15" ht="15" customHeight="1">
      <c r="A753" s="329"/>
      <c r="B753" s="329"/>
      <c r="C753" s="329"/>
      <c r="D753" s="34" t="s">
        <v>91</v>
      </c>
      <c r="E753" s="288">
        <v>1.18</v>
      </c>
      <c r="F753" s="98">
        <v>0.688</v>
      </c>
      <c r="G753" s="92" t="str">
        <f>CONCATENATE(D753," - ",E753,", ")</f>
        <v>4/core PVC Alumn. Cable scrap - 1.18, </v>
      </c>
      <c r="H753" s="426"/>
      <c r="I753" s="98" t="e">
        <f ca="1">IF(G752&gt;=6,(MID(H753,1,1)&amp;MID(H753,2,3)+1),CELL("address",Z753))</f>
        <v>#VALUE!</v>
      </c>
      <c r="J753" s="98" t="e">
        <f ca="1">IF(G752&gt;=7,(MID(I753,1,1)&amp;MID(I753,2,3)+1),CELL("address",AA753))</f>
        <v>#VALUE!</v>
      </c>
      <c r="K753" s="98" t="e">
        <f ca="1">IF(G752&gt;=8,(MID(J753,1,1)&amp;MID(J753,2,3)+1),CELL("address",AB753))</f>
        <v>#VALUE!</v>
      </c>
      <c r="L753" s="98" t="e">
        <f ca="1">IF(G752&gt;=9,(MID(K753,1,1)&amp;MID(K753,2,3)+1),CELL("address",AC753))</f>
        <v>#VALUE!</v>
      </c>
      <c r="M753" s="98" t="e">
        <f ca="1">IF(G752&gt;=10,(MID(L753,1,1)&amp;MID(L753,2,3)+1),CELL("address",AD753))</f>
        <v>#VALUE!</v>
      </c>
      <c r="N753" s="98" t="e">
        <f ca="1">IF(G752&gt;=11,(MID(M753,1,1)&amp;MID(M753,2,3)+1),CELL("address",AE753))</f>
        <v>#VALUE!</v>
      </c>
      <c r="O753" s="98" t="e">
        <f ca="1">IF(G752&gt;=12,(MID(N753,1,1)&amp;MID(N753,2,3)+1),CELL("address",AF753))</f>
        <v>#VALUE!</v>
      </c>
    </row>
    <row r="754" spans="1:8" ht="15" customHeight="1">
      <c r="A754" s="329"/>
      <c r="B754" s="329"/>
      <c r="C754" s="329"/>
      <c r="D754" s="34" t="s">
        <v>92</v>
      </c>
      <c r="E754" s="288">
        <v>2.539</v>
      </c>
      <c r="F754" s="1">
        <v>0.975</v>
      </c>
      <c r="G754" s="92" t="str">
        <f>CONCATENATE(D754," - ",E754,", ")</f>
        <v>3/ core XLPE Alu cable scrap - 2.539, </v>
      </c>
      <c r="H754" s="1"/>
    </row>
    <row r="755" spans="1:8" ht="15" customHeight="1">
      <c r="A755" s="329"/>
      <c r="B755" s="329"/>
      <c r="C755" s="329"/>
      <c r="D755" s="76" t="s">
        <v>168</v>
      </c>
      <c r="E755" s="174">
        <v>3.016</v>
      </c>
      <c r="F755" s="1">
        <v>1.024</v>
      </c>
      <c r="G755" s="92" t="str">
        <f>CONCATENATE(D755," - ",E755,", ")</f>
        <v>ABC cable scrap (70/95 mm) - 3.016, </v>
      </c>
      <c r="H755" s="1"/>
    </row>
    <row r="756" spans="1:8" ht="15" customHeight="1">
      <c r="A756" s="39"/>
      <c r="B756" s="41"/>
      <c r="C756" s="42"/>
      <c r="D756" s="76"/>
      <c r="E756" s="174"/>
      <c r="H756" s="1"/>
    </row>
    <row r="757" spans="1:8" ht="15" customHeight="1">
      <c r="A757" s="50"/>
      <c r="B757" s="221"/>
      <c r="C757" s="222"/>
      <c r="D757" s="80"/>
      <c r="E757" s="178">
        <f>SUM(E759:E762)</f>
        <v>5.276</v>
      </c>
      <c r="H757" s="1"/>
    </row>
    <row r="758" spans="1:18" ht="15" customHeight="1">
      <c r="A758" s="40" t="s">
        <v>5</v>
      </c>
      <c r="B758" s="325" t="s">
        <v>17</v>
      </c>
      <c r="C758" s="326"/>
      <c r="D758" s="213" t="s">
        <v>18</v>
      </c>
      <c r="E758" s="39" t="s">
        <v>7</v>
      </c>
      <c r="G758" s="93" t="str">
        <f>CONCATENATE("Cable Scrap, Lying at ",B759,". Quantity in MT - ")</f>
        <v>Cable Scrap, Lying at OL Moga. Quantity in MT - </v>
      </c>
      <c r="H758" s="427" t="str">
        <f ca="1">CONCATENATE(G758,G759,(INDIRECT(I759)),(INDIRECT(J759)),(INDIRECT(K759)),(INDIRECT(L759)),(INDIRECT(M759)),(INDIRECT(N759)),(INDIRECT(O759)),(INDIRECT(P759)),(INDIRECT(Q759)),(INDIRECT(R759)))</f>
        <v>Cable Scrap, Lying at OL Moga. Quantity in MT - 2/core PVC Alumn. Cable scrap - 1.246, 4/core PVC Alumn. Cable scrap - 2.044, 1/ core XLPE Alu cable scrap - 0.299, 3/ core XLPE Alu cable scrap - 1.687, </v>
      </c>
      <c r="I758" s="98" t="str">
        <f aca="true" ca="1" t="array" ref="I758">CELL("address",INDEX(G758:G782,MATCH(TRUE,ISBLANK(G758:G782),0)))</f>
        <v>$G$763</v>
      </c>
      <c r="J758" s="98">
        <f aca="true" t="array" ref="J758">MATCH(TRUE,ISBLANK(G758:G782),0)</f>
        <v>6</v>
      </c>
      <c r="K758" s="98">
        <f>J758-3</f>
        <v>3</v>
      </c>
      <c r="L758" s="98"/>
      <c r="M758" s="98"/>
      <c r="N758" s="98"/>
      <c r="O758" s="98"/>
      <c r="P758" s="98"/>
      <c r="Q758" s="98"/>
      <c r="R758" s="98"/>
    </row>
    <row r="759" spans="1:18" ht="15" customHeight="1">
      <c r="A759" s="329" t="s">
        <v>268</v>
      </c>
      <c r="B759" s="329" t="s">
        <v>269</v>
      </c>
      <c r="C759" s="329"/>
      <c r="D759" s="34" t="s">
        <v>90</v>
      </c>
      <c r="E759" s="223">
        <v>1.246</v>
      </c>
      <c r="F759" s="1">
        <v>1.19</v>
      </c>
      <c r="G759" s="92" t="str">
        <f>CONCATENATE(D759," - ",E759,", ")</f>
        <v>2/core PVC Alumn. Cable scrap - 1.246, </v>
      </c>
      <c r="H759" s="427"/>
      <c r="I759" s="98" t="str">
        <f ca="1">IF(J758&gt;=3,(MID(I758,2,1)&amp;MID(I758,4,3)-K758),CELL("address",Z759))</f>
        <v>G760</v>
      </c>
      <c r="J759" s="98" t="str">
        <f ca="1">IF(J758&gt;=4,(MID(I759,1,1)&amp;MID(I759,2,3)+1),CELL("address",AA759))</f>
        <v>G761</v>
      </c>
      <c r="K759" s="98" t="str">
        <f ca="1">IF(J758&gt;=5,(MID(J759,1,1)&amp;MID(J759,2,3)+1),CELL("address",AB759))</f>
        <v>G762</v>
      </c>
      <c r="L759" s="98" t="str">
        <f ca="1">IF(J758&gt;=6,(MID(K759,1,1)&amp;MID(K759,2,3)+1),CELL("address",AC759))</f>
        <v>G763</v>
      </c>
      <c r="M759" s="98" t="str">
        <f ca="1">IF(J758&gt;=7,(MID(L759,1,1)&amp;MID(L759,2,3)+1),CELL("address",AD759))</f>
        <v>$AD$759</v>
      </c>
      <c r="N759" s="98" t="str">
        <f ca="1">IF(J758&gt;=8,(MID(M759,1,1)&amp;MID(M759,2,3)+1),CELL("address",AE759))</f>
        <v>$AE$759</v>
      </c>
      <c r="O759" s="98" t="str">
        <f ca="1">IF(J758&gt;=9,(MID(N759,1,1)&amp;MID(N759,2,3)+1),CELL("address",AF759))</f>
        <v>$AF$759</v>
      </c>
      <c r="P759" s="98" t="str">
        <f ca="1">IF(J758&gt;=10,(MID(O759,1,1)&amp;MID(O759,2,3)+1),CELL("address",AG759))</f>
        <v>$AG$759</v>
      </c>
      <c r="Q759" s="98" t="str">
        <f ca="1">IF(J758&gt;=11,(MID(P759,1,1)&amp;MID(P759,2,3)+1),CELL("address",AH759))</f>
        <v>$AH$759</v>
      </c>
      <c r="R759" s="98" t="str">
        <f ca="1">IF(J758&gt;=12,(MID(Q759,1,1)&amp;MID(Q759,2,3)+1),CELL("address",AI759))</f>
        <v>$AI$759</v>
      </c>
    </row>
    <row r="760" spans="1:15" ht="15" customHeight="1">
      <c r="A760" s="329"/>
      <c r="B760" s="329"/>
      <c r="C760" s="329"/>
      <c r="D760" s="34" t="s">
        <v>91</v>
      </c>
      <c r="E760" s="217">
        <v>2.044</v>
      </c>
      <c r="F760" s="98">
        <v>1.994</v>
      </c>
      <c r="G760" s="92" t="str">
        <f>CONCATENATE(D760," - ",E760,", ")</f>
        <v>4/core PVC Alumn. Cable scrap - 2.044, </v>
      </c>
      <c r="H760" s="426"/>
      <c r="I760" s="98"/>
      <c r="J760" s="98"/>
      <c r="K760" s="98"/>
      <c r="L760" s="98"/>
      <c r="M760" s="98"/>
      <c r="N760" s="98"/>
      <c r="O760" s="98"/>
    </row>
    <row r="761" spans="1:15" ht="15" customHeight="1">
      <c r="A761" s="329"/>
      <c r="B761" s="329"/>
      <c r="C761" s="329"/>
      <c r="D761" s="34" t="s">
        <v>97</v>
      </c>
      <c r="E761" s="217">
        <v>0.299</v>
      </c>
      <c r="F761" s="98">
        <v>0.239</v>
      </c>
      <c r="G761" s="92" t="str">
        <f>CONCATENATE(D761," - ",E761,", ")</f>
        <v>1/ core XLPE Alu cable scrap - 0.299, </v>
      </c>
      <c r="H761" s="426"/>
      <c r="I761" s="98" t="e">
        <f ca="1">IF(G760&gt;=6,(MID(H761,1,1)&amp;MID(H761,2,3)+1),CELL("address",Z761))</f>
        <v>#VALUE!</v>
      </c>
      <c r="J761" s="98" t="e">
        <f ca="1">IF(G760&gt;=7,(MID(I761,1,1)&amp;MID(I761,2,3)+1),CELL("address",AA761))</f>
        <v>#VALUE!</v>
      </c>
      <c r="K761" s="98" t="e">
        <f ca="1">IF(G760&gt;=8,(MID(J761,1,1)&amp;MID(J761,2,3)+1),CELL("address",AB761))</f>
        <v>#VALUE!</v>
      </c>
      <c r="L761" s="98" t="e">
        <f ca="1">IF(G760&gt;=9,(MID(K761,1,1)&amp;MID(K761,2,3)+1),CELL("address",AC761))</f>
        <v>#VALUE!</v>
      </c>
      <c r="M761" s="98" t="e">
        <f ca="1">IF(G760&gt;=10,(MID(L761,1,1)&amp;MID(L761,2,3)+1),CELL("address",AD761))</f>
        <v>#VALUE!</v>
      </c>
      <c r="N761" s="98" t="e">
        <f ca="1">IF(G760&gt;=11,(MID(M761,1,1)&amp;MID(M761,2,3)+1),CELL("address",AE761))</f>
        <v>#VALUE!</v>
      </c>
      <c r="O761" s="98" t="e">
        <f ca="1">IF(G760&gt;=12,(MID(N761,1,1)&amp;MID(N761,2,3)+1),CELL("address",AF761))</f>
        <v>#VALUE!</v>
      </c>
    </row>
    <row r="762" spans="1:8" ht="15" customHeight="1">
      <c r="A762" s="329"/>
      <c r="B762" s="329"/>
      <c r="C762" s="329"/>
      <c r="D762" s="34" t="s">
        <v>92</v>
      </c>
      <c r="E762" s="174">
        <v>1.687</v>
      </c>
      <c r="F762" s="1">
        <v>1.497</v>
      </c>
      <c r="G762" s="92" t="str">
        <f>CONCATENATE(D762," - ",E762,", ")</f>
        <v>3/ core XLPE Alu cable scrap - 1.687, </v>
      </c>
      <c r="H762" s="1"/>
    </row>
    <row r="763" spans="1:8" ht="13.5" customHeight="1">
      <c r="A763" s="39"/>
      <c r="B763" s="41"/>
      <c r="C763" s="42"/>
      <c r="D763" s="34"/>
      <c r="E763" s="174"/>
      <c r="H763" s="1"/>
    </row>
    <row r="764" spans="1:8" ht="20.25" customHeight="1">
      <c r="A764" s="12" t="s">
        <v>13</v>
      </c>
      <c r="B764" s="13"/>
      <c r="C764" s="9"/>
      <c r="D764" s="34"/>
      <c r="E764" s="321">
        <f>46.702+E779+E797+E921</f>
        <v>352.58799999999997</v>
      </c>
      <c r="F764" s="121">
        <f>E765+E770+E779+E784+E790+E797+E801+E811+E817+E823+E837+E845+E851+E859+E872+E879+E886+E893+E899+E904+E912+E919+E932+46.702</f>
        <v>503.409</v>
      </c>
      <c r="H764" s="1"/>
    </row>
    <row r="765" spans="1:15" ht="15" customHeight="1">
      <c r="A765" s="53"/>
      <c r="B765" s="54"/>
      <c r="C765" s="55"/>
      <c r="D765" s="55"/>
      <c r="E765" s="163">
        <f>SUM(E767:E768)</f>
        <v>22.312</v>
      </c>
      <c r="F765" s="98"/>
      <c r="G765" s="98"/>
      <c r="H765" s="426"/>
      <c r="I765" s="98"/>
      <c r="J765" s="98"/>
      <c r="K765" s="98"/>
      <c r="L765" s="98"/>
      <c r="M765" s="98"/>
      <c r="N765" s="98"/>
      <c r="O765" s="98"/>
    </row>
    <row r="766" spans="1:18" ht="15" customHeight="1">
      <c r="A766" s="329" t="s">
        <v>5</v>
      </c>
      <c r="B766" s="329"/>
      <c r="C766" s="56" t="s">
        <v>17</v>
      </c>
      <c r="D766" s="212" t="s">
        <v>18</v>
      </c>
      <c r="E766" s="39" t="s">
        <v>7</v>
      </c>
      <c r="F766" s="98"/>
      <c r="G766" s="93" t="str">
        <f>CONCATENATE("Misc. Iron Scrap, Lying at ",C767,". Quantity in MT - ")</f>
        <v>Misc. Iron Scrap, Lying at Pilot W/Shop Sri Muktsar Sahib. Quantity in MT - </v>
      </c>
      <c r="H766" s="427" t="str">
        <f ca="1">CONCATENATE(G766,G767,(INDIRECT(I767)),(INDIRECT(J767)),(INDIRECT(K767)),(INDIRECT(L767)),(INDIRECT(M767)),(INDIRECT(N767)),(INDIRECT(O767)),(INDIRECT(P767)),(INDIRECT(Q767)),(INDIRECT(R767)),".")</f>
        <v>Misc. Iron Scrap, Lying at Pilot W/Shop Sri Muktsar Sahib. Quantity in MT - MS iron scrap / GI scrap - 10.182, HT wire scrap off size - 12.13, .</v>
      </c>
      <c r="I766" s="98" t="str">
        <f aca="true" ca="1" t="array" ref="I766">CELL("address",INDEX(G766:G784,MATCH(TRUE,ISBLANK(G766:G784),0)))</f>
        <v>$G$769</v>
      </c>
      <c r="J766" s="98">
        <f aca="true" t="array" ref="J766">MATCH(TRUE,ISBLANK(G766:G784),0)</f>
        <v>4</v>
      </c>
      <c r="K766" s="98">
        <f>J766-3</f>
        <v>1</v>
      </c>
      <c r="L766" s="98"/>
      <c r="M766" s="98"/>
      <c r="N766" s="98"/>
      <c r="O766" s="98"/>
      <c r="P766" s="98"/>
      <c r="Q766" s="98"/>
      <c r="R766" s="98"/>
    </row>
    <row r="767" spans="1:18" ht="15" customHeight="1">
      <c r="A767" s="347" t="s">
        <v>21</v>
      </c>
      <c r="B767" s="359"/>
      <c r="C767" s="327" t="s">
        <v>19</v>
      </c>
      <c r="D767" s="40" t="s">
        <v>20</v>
      </c>
      <c r="E767" s="69">
        <v>10.182</v>
      </c>
      <c r="G767" s="92" t="str">
        <f>CONCATENATE(D767," - ",E767,", ")</f>
        <v>MS iron scrap / GI scrap - 10.182, </v>
      </c>
      <c r="H767" s="427"/>
      <c r="I767" s="98" t="str">
        <f ca="1">IF(J766&gt;=3,(MID(I766,2,1)&amp;MID(I766,4,3)-K766),CELL("address",Z767))</f>
        <v>G768</v>
      </c>
      <c r="J767" s="98" t="str">
        <f ca="1">IF(J766&gt;=4,(MID(I767,1,1)&amp;MID(I767,2,3)+1),CELL("address",AA767))</f>
        <v>G769</v>
      </c>
      <c r="K767" s="98" t="str">
        <f ca="1">IF(J766&gt;=5,(MID(J767,1,1)&amp;MID(J767,2,3)+1),CELL("address",AB767))</f>
        <v>$AB$767</v>
      </c>
      <c r="L767" s="98" t="str">
        <f ca="1">IF(J766&gt;=6,(MID(K767,1,1)&amp;MID(K767,2,3)+1),CELL("address",AC767))</f>
        <v>$AC$767</v>
      </c>
      <c r="M767" s="98" t="str">
        <f ca="1">IF(J766&gt;=7,(MID(L767,1,1)&amp;MID(L767,2,3)+1),CELL("address",AD767))</f>
        <v>$AD$767</v>
      </c>
      <c r="N767" s="98" t="str">
        <f ca="1">IF(J766&gt;=8,(MID(M767,1,1)&amp;MID(M767,2,3)+1),CELL("address",AE767))</f>
        <v>$AE$767</v>
      </c>
      <c r="O767" s="98" t="str">
        <f ca="1">IF(J766&gt;=9,(MID(N767,1,1)&amp;MID(N767,2,3)+1),CELL("address",AF767))</f>
        <v>$AF$767</v>
      </c>
      <c r="P767" s="98" t="str">
        <f ca="1">IF(J766&gt;=10,(MID(O767,1,1)&amp;MID(O767,2,3)+1),CELL("address",AG767))</f>
        <v>$AG$767</v>
      </c>
      <c r="Q767" s="98" t="str">
        <f ca="1">IF(J766&gt;=11,(MID(P767,1,1)&amp;MID(P767,2,3)+1),CELL("address",AH767))</f>
        <v>$AH$767</v>
      </c>
      <c r="R767" s="98" t="str">
        <f ca="1">IF(J766&gt;=12,(MID(Q767,1,1)&amp;MID(Q767,2,3)+1),CELL("address",AI767))</f>
        <v>$AI$767</v>
      </c>
    </row>
    <row r="768" spans="1:8" ht="15" customHeight="1">
      <c r="A768" s="360"/>
      <c r="B768" s="361"/>
      <c r="C768" s="419"/>
      <c r="D768" s="40" t="s">
        <v>71</v>
      </c>
      <c r="E768" s="69">
        <v>12.13</v>
      </c>
      <c r="G768" s="92" t="str">
        <f>CONCATENATE(D768," - ",E768,", ")</f>
        <v>HT wire scrap off size - 12.13, </v>
      </c>
      <c r="H768" s="1"/>
    </row>
    <row r="769" spans="1:8" ht="15" customHeight="1">
      <c r="A769" s="39"/>
      <c r="B769" s="41"/>
      <c r="C769" s="48"/>
      <c r="D769" s="38"/>
      <c r="E769" s="179"/>
      <c r="G769" s="92"/>
      <c r="H769" s="1"/>
    </row>
    <row r="770" spans="1:15" ht="15" customHeight="1">
      <c r="A770" s="53"/>
      <c r="B770" s="54"/>
      <c r="C770" s="55"/>
      <c r="D770" s="55"/>
      <c r="E770" s="163">
        <f>SUM(E772:E773)</f>
        <v>19.325</v>
      </c>
      <c r="F770" s="98"/>
      <c r="G770" s="98"/>
      <c r="H770" s="426"/>
      <c r="I770" s="98"/>
      <c r="J770" s="98"/>
      <c r="K770" s="98"/>
      <c r="L770" s="98"/>
      <c r="M770" s="98"/>
      <c r="N770" s="98"/>
      <c r="O770" s="98"/>
    </row>
    <row r="771" spans="1:18" ht="15" customHeight="1">
      <c r="A771" s="329" t="s">
        <v>5</v>
      </c>
      <c r="B771" s="329"/>
      <c r="C771" s="56" t="s">
        <v>17</v>
      </c>
      <c r="D771" s="212" t="s">
        <v>18</v>
      </c>
      <c r="E771" s="39" t="s">
        <v>7</v>
      </c>
      <c r="F771" s="98"/>
      <c r="G771" s="93" t="str">
        <f>CONCATENATE("Misc. Iron Scrap, Lying at ",C772,". Quantity in MT - ")</f>
        <v>Misc. Iron Scrap, Lying at Pilot Workshop Mohali. Quantity in MT - </v>
      </c>
      <c r="H771" s="427" t="str">
        <f ca="1">CONCATENATE(G771,G772,(INDIRECT(I772)),(INDIRECT(J772)),(INDIRECT(K772)),(INDIRECT(L772)),(INDIRECT(M772)),(INDIRECT(N772)),(INDIRECT(O772)),(INDIRECT(P772)),(INDIRECT(Q772)),(INDIRECT(R772)),".")</f>
        <v>Misc. Iron Scrap, Lying at Pilot Workshop Mohali. Quantity in MT - HT Wire scrap &amp; other intermingled iron scrap - 14, MS iron scrap ( MS sections, scrapped T&amp;P etc) - 5.325, .</v>
      </c>
      <c r="I771" s="98" t="str">
        <f aca="true" ca="1" t="array" ref="I771">CELL("address",INDEX(G771:G789,MATCH(TRUE,ISBLANK(G771:G789),0)))</f>
        <v>$G$774</v>
      </c>
      <c r="J771" s="98">
        <f aca="true" t="array" ref="J771">MATCH(TRUE,ISBLANK(G771:G789),0)</f>
        <v>4</v>
      </c>
      <c r="K771" s="98">
        <f>J771-3</f>
        <v>1</v>
      </c>
      <c r="L771" s="98"/>
      <c r="M771" s="98"/>
      <c r="N771" s="98"/>
      <c r="O771" s="98"/>
      <c r="P771" s="98"/>
      <c r="Q771" s="98"/>
      <c r="R771" s="98"/>
    </row>
    <row r="772" spans="1:18" ht="15" customHeight="1">
      <c r="A772" s="329" t="s">
        <v>30</v>
      </c>
      <c r="B772" s="329"/>
      <c r="C772" s="327" t="s">
        <v>54</v>
      </c>
      <c r="D772" s="42" t="s">
        <v>55</v>
      </c>
      <c r="E772" s="69">
        <v>14</v>
      </c>
      <c r="G772" s="92" t="str">
        <f>CONCATENATE(D772," - ",E772,", ")</f>
        <v>HT Wire scrap &amp; other intermingled iron scrap - 14, </v>
      </c>
      <c r="H772" s="427"/>
      <c r="I772" s="98" t="str">
        <f ca="1">IF(J771&gt;=3,(MID(I771,2,1)&amp;MID(I771,4,3)-K771),CELL("address",Z772))</f>
        <v>G773</v>
      </c>
      <c r="J772" s="98" t="str">
        <f ca="1">IF(J771&gt;=4,(MID(I772,1,1)&amp;MID(I772,2,3)+1),CELL("address",AA772))</f>
        <v>G774</v>
      </c>
      <c r="K772" s="98" t="str">
        <f ca="1">IF(J771&gt;=5,(MID(J772,1,1)&amp;MID(J772,2,3)+1),CELL("address",AB772))</f>
        <v>$AB$772</v>
      </c>
      <c r="L772" s="98" t="str">
        <f ca="1">IF(J771&gt;=6,(MID(K772,1,1)&amp;MID(K772,2,3)+1),CELL("address",AC772))</f>
        <v>$AC$772</v>
      </c>
      <c r="M772" s="98" t="str">
        <f ca="1">IF(J771&gt;=7,(MID(L772,1,1)&amp;MID(L772,2,3)+1),CELL("address",AD772))</f>
        <v>$AD$772</v>
      </c>
      <c r="N772" s="98" t="str">
        <f ca="1">IF(J771&gt;=8,(MID(M772,1,1)&amp;MID(M772,2,3)+1),CELL("address",AE772))</f>
        <v>$AE$772</v>
      </c>
      <c r="O772" s="98" t="str">
        <f ca="1">IF(J771&gt;=9,(MID(N772,1,1)&amp;MID(N772,2,3)+1),CELL("address",AF772))</f>
        <v>$AF$772</v>
      </c>
      <c r="P772" s="98" t="str">
        <f ca="1">IF(J771&gt;=10,(MID(O772,1,1)&amp;MID(O772,2,3)+1),CELL("address",AG772))</f>
        <v>$AG$772</v>
      </c>
      <c r="Q772" s="98" t="str">
        <f ca="1">IF(J771&gt;=11,(MID(P772,1,1)&amp;MID(P772,2,3)+1),CELL("address",AH772))</f>
        <v>$AH$772</v>
      </c>
      <c r="R772" s="98" t="str">
        <f ca="1">IF(J771&gt;=12,(MID(Q772,1,1)&amp;MID(Q772,2,3)+1),CELL("address",AI772))</f>
        <v>$AI$772</v>
      </c>
    </row>
    <row r="773" spans="1:8" ht="15" customHeight="1">
      <c r="A773" s="329"/>
      <c r="B773" s="329"/>
      <c r="C773" s="327"/>
      <c r="D773" s="74" t="s">
        <v>56</v>
      </c>
      <c r="E773" s="69">
        <v>5.325</v>
      </c>
      <c r="G773" s="92" t="str">
        <f>CONCATENATE(D773," - ",E773,", ")</f>
        <v>MS iron scrap ( MS sections, scrapped T&amp;P etc) - 5.325, </v>
      </c>
      <c r="H773" s="1"/>
    </row>
    <row r="774" spans="1:15" ht="15" customHeight="1">
      <c r="A774" s="39"/>
      <c r="B774" s="41"/>
      <c r="C774" s="48"/>
      <c r="D774" s="38"/>
      <c r="E774" s="179"/>
      <c r="F774" s="98"/>
      <c r="G774" s="98"/>
      <c r="H774" s="426"/>
      <c r="I774" s="98"/>
      <c r="J774" s="98"/>
      <c r="K774" s="98"/>
      <c r="L774" s="98"/>
      <c r="M774" s="98"/>
      <c r="N774" s="98"/>
      <c r="O774" s="98"/>
    </row>
    <row r="775" spans="1:15" ht="15" customHeight="1">
      <c r="A775" s="53"/>
      <c r="B775" s="54"/>
      <c r="C775" s="54"/>
      <c r="D775" s="55"/>
      <c r="E775" s="160">
        <f>SUM(E777:E777)</f>
        <v>26687</v>
      </c>
      <c r="F775" s="98"/>
      <c r="G775" s="98"/>
      <c r="H775" s="426"/>
      <c r="I775" s="98" t="str">
        <f ca="1">IF(G774&gt;=6,(MID(H775,1,1)&amp;MID(H775,2,3)+1),CELL("address",Z775))</f>
        <v>$Z$775</v>
      </c>
      <c r="J775" s="98" t="str">
        <f ca="1">IF(G774&gt;=7,(MID(I775,1,1)&amp;MID(I775,2,3)+1),CELL("address",AA775))</f>
        <v>$AA$775</v>
      </c>
      <c r="K775" s="98" t="str">
        <f ca="1">IF(G774&gt;=8,(MID(J775,1,1)&amp;MID(J775,2,3)+1),CELL("address",AB775))</f>
        <v>$AB$775</v>
      </c>
      <c r="L775" s="98" t="str">
        <f ca="1">IF(G774&gt;=9,(MID(K775,1,1)&amp;MID(K775,2,3)+1),CELL("address",AC775))</f>
        <v>$AC$775</v>
      </c>
      <c r="M775" s="98" t="str">
        <f ca="1">IF(G774&gt;=10,(MID(L775,1,1)&amp;MID(L775,2,3)+1),CELL("address",AD775))</f>
        <v>$AD$775</v>
      </c>
      <c r="N775" s="98" t="str">
        <f ca="1">IF(G774&gt;=11,(MID(M775,1,1)&amp;MID(M775,2,3)+1),CELL("address",AE775))</f>
        <v>$AE$775</v>
      </c>
      <c r="O775" s="98" t="str">
        <f ca="1">IF(G774&gt;=12,(MID(N775,1,1)&amp;MID(N775,2,3)+1),CELL("address",AF775))</f>
        <v>$AF$775</v>
      </c>
    </row>
    <row r="776" spans="1:18" ht="15" customHeight="1">
      <c r="A776" s="329" t="s">
        <v>5</v>
      </c>
      <c r="B776" s="329"/>
      <c r="C776" s="40" t="s">
        <v>17</v>
      </c>
      <c r="D776" s="212" t="s">
        <v>18</v>
      </c>
      <c r="E776" s="39" t="s">
        <v>69</v>
      </c>
      <c r="G776" s="93" t="str">
        <f>CONCATENATE("Misc. Iron Scrap, Lying at ",C777,". Quantity in No - ")</f>
        <v>Misc. Iron Scrap, Lying at S &amp; T Store Bathinda. Quantity in No - </v>
      </c>
      <c r="H776" s="427" t="str">
        <f ca="1">CONCATENATE(G776,G777,(INDIRECT(I777)),(INDIRECT(J777)),(INDIRECT(K777)),(INDIRECT(L777)),(INDIRECT(M777)),(INDIRECT(N777)),(INDIRECT(O777)),(INDIRECT(P777)),(INDIRECT(Q777)),(INDIRECT(R777)),".")</f>
        <v>Misc. Iron Scrap, Lying at S &amp; T Store Bathinda. Quantity in No - Disc Insulator Scrap - 26687, .</v>
      </c>
      <c r="I776" s="98" t="str">
        <f aca="true" ca="1" t="array" ref="I776">CELL("address",INDEX(G776:G796,MATCH(TRUE,ISBLANK(G776:G796),0)))</f>
        <v>$G$778</v>
      </c>
      <c r="J776" s="98">
        <f aca="true" t="array" ref="J776">MATCH(TRUE,ISBLANK(G776:G796),0)</f>
        <v>3</v>
      </c>
      <c r="K776" s="98">
        <f>J776-3</f>
        <v>0</v>
      </c>
      <c r="L776" s="98"/>
      <c r="M776" s="98"/>
      <c r="N776" s="98"/>
      <c r="O776" s="98"/>
      <c r="P776" s="98"/>
      <c r="Q776" s="98"/>
      <c r="R776" s="98"/>
    </row>
    <row r="777" spans="1:18" ht="15" customHeight="1">
      <c r="A777" s="347" t="s">
        <v>33</v>
      </c>
      <c r="B777" s="348"/>
      <c r="C777" s="215" t="s">
        <v>57</v>
      </c>
      <c r="D777" s="40" t="s">
        <v>70</v>
      </c>
      <c r="E777" s="161">
        <v>26687</v>
      </c>
      <c r="G777" s="92" t="str">
        <f>CONCATENATE(D777," - ",E777,", ")</f>
        <v>Disc Insulator Scrap - 26687, </v>
      </c>
      <c r="H777" s="427"/>
      <c r="I777" s="98" t="str">
        <f ca="1">IF(J776&gt;=3,(MID(I776,2,1)&amp;MID(I776,4,3)-K776),CELL("address",Z777))</f>
        <v>G778</v>
      </c>
      <c r="J777" s="98" t="str">
        <f ca="1">IF(J776&gt;=4,(MID(I777,1,1)&amp;MID(I777,2,3)+1),CELL("address",AA777))</f>
        <v>$AA$777</v>
      </c>
      <c r="K777" s="98" t="str">
        <f ca="1">IF(J776&gt;=5,(MID(J777,1,1)&amp;MID(J777,2,3)+1),CELL("address",AB777))</f>
        <v>$AB$777</v>
      </c>
      <c r="L777" s="98" t="str">
        <f ca="1">IF(J776&gt;=6,(MID(K777,1,1)&amp;MID(K777,2,3)+1),CELL("address",AC777))</f>
        <v>$AC$777</v>
      </c>
      <c r="M777" s="98" t="str">
        <f ca="1">IF(J776&gt;=7,(MID(L777,1,1)&amp;MID(L777,2,3)+1),CELL("address",AD777))</f>
        <v>$AD$777</v>
      </c>
      <c r="N777" s="98" t="str">
        <f ca="1">IF(J776&gt;=8,(MID(M777,1,1)&amp;MID(M777,2,3)+1),CELL("address",AE777))</f>
        <v>$AE$777</v>
      </c>
      <c r="O777" s="98" t="str">
        <f ca="1">IF(J776&gt;=9,(MID(N777,1,1)&amp;MID(N777,2,3)+1),CELL("address",AF777))</f>
        <v>$AF$777</v>
      </c>
      <c r="P777" s="98" t="str">
        <f ca="1">IF(J776&gt;=10,(MID(O777,1,1)&amp;MID(O777,2,3)+1),CELL("address",AG777))</f>
        <v>$AG$777</v>
      </c>
      <c r="Q777" s="98" t="str">
        <f ca="1">IF(J776&gt;=11,(MID(P777,1,1)&amp;MID(P777,2,3)+1),CELL("address",AH777))</f>
        <v>$AH$777</v>
      </c>
      <c r="R777" s="98" t="str">
        <f ca="1">IF(J776&gt;=12,(MID(Q777,1,1)&amp;MID(Q777,2,3)+1),CELL("address",AI777))</f>
        <v>$AI$777</v>
      </c>
    </row>
    <row r="778" spans="1:8" ht="15" customHeight="1">
      <c r="A778" s="39"/>
      <c r="B778" s="42"/>
      <c r="C778" s="212"/>
      <c r="D778" s="40"/>
      <c r="E778" s="162"/>
      <c r="H778" s="1"/>
    </row>
    <row r="779" spans="1:15" ht="15" customHeight="1">
      <c r="A779" s="53"/>
      <c r="B779" s="54"/>
      <c r="C779" s="54"/>
      <c r="D779" s="55"/>
      <c r="E779" s="163">
        <f>SUM(E781:E782)</f>
        <v>186.886</v>
      </c>
      <c r="F779" s="197"/>
      <c r="G779" s="98"/>
      <c r="H779" s="426"/>
      <c r="I779" s="98"/>
      <c r="J779" s="98"/>
      <c r="K779" s="98"/>
      <c r="L779" s="98"/>
      <c r="M779" s="98"/>
      <c r="N779" s="98"/>
      <c r="O779" s="98"/>
    </row>
    <row r="780" spans="1:18" ht="15" customHeight="1">
      <c r="A780" s="329" t="s">
        <v>5</v>
      </c>
      <c r="B780" s="329"/>
      <c r="C780" s="40" t="s">
        <v>17</v>
      </c>
      <c r="D780" s="212" t="s">
        <v>18</v>
      </c>
      <c r="E780" s="39" t="s">
        <v>7</v>
      </c>
      <c r="F780" s="197"/>
      <c r="G780" s="93" t="str">
        <f>CONCATENATE("Misc. Iron Scrap, Lying at ",C781,". Quantity in MT - ")</f>
        <v>Misc. Iron Scrap, Lying at S &amp; T Store Bathinda. Quantity in MT - </v>
      </c>
      <c r="H780" s="427" t="str">
        <f ca="1">CONCATENATE(G780,G781,(INDIRECT(I781)),(INDIRECT(J781)),(INDIRECT(K781)),(INDIRECT(L781)),(INDIRECT(M781)),(INDIRECT(N781)),(INDIRECT(O781)),(INDIRECT(P781)),(INDIRECT(Q781)),(INDIRECT(R781)),".")</f>
        <v>Misc. Iron Scrap, Lying at S &amp; T Store Bathinda. Quantity in MT - MS Rail scrap - 181.996, Earthwire GSL scrap - 4.89, .</v>
      </c>
      <c r="I780" s="98" t="str">
        <f aca="true" ca="1" t="array" ref="I780">CELL("address",INDEX(G780:G800,MATCH(TRUE,ISBLANK(G780:G800),0)))</f>
        <v>$G$783</v>
      </c>
      <c r="J780" s="98">
        <f aca="true" t="array" ref="J780">MATCH(TRUE,ISBLANK(G780:G800),0)</f>
        <v>4</v>
      </c>
      <c r="K780" s="98">
        <f>J780-3</f>
        <v>1</v>
      </c>
      <c r="L780" s="98"/>
      <c r="M780" s="98"/>
      <c r="N780" s="98"/>
      <c r="O780" s="98"/>
      <c r="P780" s="98"/>
      <c r="Q780" s="98"/>
      <c r="R780" s="98"/>
    </row>
    <row r="781" spans="1:18" ht="15" customHeight="1">
      <c r="A781" s="329" t="s">
        <v>51</v>
      </c>
      <c r="B781" s="329"/>
      <c r="C781" s="327" t="s">
        <v>57</v>
      </c>
      <c r="D781" s="42" t="s">
        <v>61</v>
      </c>
      <c r="E781" s="69">
        <v>181.996</v>
      </c>
      <c r="F781" s="197"/>
      <c r="G781" s="92" t="str">
        <f>CONCATENATE(D781," - ",E781,", ")</f>
        <v>MS Rail scrap - 181.996, </v>
      </c>
      <c r="H781" s="427"/>
      <c r="I781" s="98" t="str">
        <f ca="1">IF(J780&gt;=3,(MID(I780,2,1)&amp;MID(I780,4,3)-K780),CELL("address",Z781))</f>
        <v>G782</v>
      </c>
      <c r="J781" s="98" t="str">
        <f ca="1">IF(J780&gt;=4,(MID(I781,1,1)&amp;MID(I781,2,3)+1),CELL("address",AA781))</f>
        <v>G783</v>
      </c>
      <c r="K781" s="98" t="str">
        <f ca="1">IF(J780&gt;=5,(MID(J781,1,1)&amp;MID(J781,2,3)+1),CELL("address",AB781))</f>
        <v>$AB$781</v>
      </c>
      <c r="L781" s="98" t="str">
        <f ca="1">IF(J780&gt;=6,(MID(K781,1,1)&amp;MID(K781,2,3)+1),CELL("address",AC781))</f>
        <v>$AC$781</v>
      </c>
      <c r="M781" s="98" t="str">
        <f ca="1">IF(J780&gt;=7,(MID(L781,1,1)&amp;MID(L781,2,3)+1),CELL("address",AD781))</f>
        <v>$AD$781</v>
      </c>
      <c r="N781" s="98" t="str">
        <f ca="1">IF(J780&gt;=8,(MID(M781,1,1)&amp;MID(M781,2,3)+1),CELL("address",AE781))</f>
        <v>$AE$781</v>
      </c>
      <c r="O781" s="98" t="str">
        <f ca="1">IF(J780&gt;=9,(MID(N781,1,1)&amp;MID(N781,2,3)+1),CELL("address",AF781))</f>
        <v>$AF$781</v>
      </c>
      <c r="P781" s="98" t="str">
        <f ca="1">IF(J780&gt;=10,(MID(O781,1,1)&amp;MID(O781,2,3)+1),CELL("address",AG781))</f>
        <v>$AG$781</v>
      </c>
      <c r="Q781" s="98" t="str">
        <f ca="1">IF(J780&gt;=11,(MID(P781,1,1)&amp;MID(P781,2,3)+1),CELL("address",AH781))</f>
        <v>$AH$781</v>
      </c>
      <c r="R781" s="98" t="str">
        <f ca="1">IF(J780&gt;=12,(MID(Q781,1,1)&amp;MID(Q781,2,3)+1),CELL("address",AI781))</f>
        <v>$AI$781</v>
      </c>
    </row>
    <row r="782" spans="1:15" ht="15" customHeight="1">
      <c r="A782" s="329"/>
      <c r="B782" s="329"/>
      <c r="C782" s="327"/>
      <c r="D782" s="42" t="s">
        <v>142</v>
      </c>
      <c r="E782" s="69">
        <v>4.89</v>
      </c>
      <c r="F782" s="98"/>
      <c r="G782" s="92" t="str">
        <f>CONCATENATE(D782," - ",E782,", ")</f>
        <v>Earthwire GSL scrap - 4.89, </v>
      </c>
      <c r="H782" s="426"/>
      <c r="I782" s="98"/>
      <c r="J782" s="98"/>
      <c r="K782" s="98"/>
      <c r="L782" s="98"/>
      <c r="M782" s="98"/>
      <c r="N782" s="98"/>
      <c r="O782" s="98"/>
    </row>
    <row r="783" spans="1:8" ht="15" customHeight="1">
      <c r="A783" s="39"/>
      <c r="B783" s="41"/>
      <c r="C783" s="48"/>
      <c r="D783" s="41"/>
      <c r="E783" s="58"/>
      <c r="F783" s="121"/>
      <c r="H783" s="1"/>
    </row>
    <row r="784" spans="1:8" ht="15" customHeight="1">
      <c r="A784" s="53"/>
      <c r="B784" s="54"/>
      <c r="C784" s="54"/>
      <c r="D784" s="56"/>
      <c r="E784" s="57">
        <f>SUM(E786:E788)</f>
        <v>3.4899999999999998</v>
      </c>
      <c r="F784" s="198"/>
      <c r="H784" s="1"/>
    </row>
    <row r="785" spans="1:18" ht="15" customHeight="1">
      <c r="A785" s="329" t="s">
        <v>5</v>
      </c>
      <c r="B785" s="329"/>
      <c r="C785" s="40" t="s">
        <v>17</v>
      </c>
      <c r="D785" s="212" t="s">
        <v>18</v>
      </c>
      <c r="E785" s="39" t="s">
        <v>7</v>
      </c>
      <c r="F785" s="98"/>
      <c r="G785" s="93" t="str">
        <f>CONCATENATE("Misc. Iron Scrap, Lying at ",C786,". Quantity in MT - ")</f>
        <v>Misc. Iron Scrap, Lying at CS Ferozepur. Quantity in MT - </v>
      </c>
      <c r="H785" s="427" t="str">
        <f ca="1">CONCATENATE(G785,G786,(INDIRECT(I786)),(INDIRECT(J786)),(INDIRECT(K786)),(INDIRECT(L786)),(INDIRECT(M786)),(INDIRECT(N786)),(INDIRECT(O786)),(INDIRECT(P786)),(INDIRECT(Q786)),(INDIRECT(R786)),".")</f>
        <v>Misc. Iron Scrap, Lying at CS Ferozepur. Quantity in MT - MS iron scrap - 2.979, Teen Patra scrap - 0.465, G.I. Scrap - 0.046, .</v>
      </c>
      <c r="I785" s="98" t="str">
        <f aca="true" ca="1" t="array" ref="I785">CELL("address",INDEX(G785:G805,MATCH(TRUE,ISBLANK(G785:G805),0)))</f>
        <v>$G$789</v>
      </c>
      <c r="J785" s="98">
        <f aca="true" t="array" ref="J785">MATCH(TRUE,ISBLANK(G785:G805),0)</f>
        <v>5</v>
      </c>
      <c r="K785" s="98">
        <f>J785-3</f>
        <v>2</v>
      </c>
      <c r="L785" s="98"/>
      <c r="M785" s="98"/>
      <c r="N785" s="98"/>
      <c r="O785" s="98"/>
      <c r="P785" s="98"/>
      <c r="Q785" s="98"/>
      <c r="R785" s="98"/>
    </row>
    <row r="786" spans="1:18" ht="15" customHeight="1">
      <c r="A786" s="328" t="s">
        <v>65</v>
      </c>
      <c r="B786" s="328"/>
      <c r="C786" s="327" t="s">
        <v>99</v>
      </c>
      <c r="D786" s="283" t="s">
        <v>29</v>
      </c>
      <c r="E786" s="179">
        <v>2.979</v>
      </c>
      <c r="F786" s="98">
        <v>2.649</v>
      </c>
      <c r="G786" s="92" t="str">
        <f>CONCATENATE(D786," - ",E786,", ")</f>
        <v>MS iron scrap - 2.979, </v>
      </c>
      <c r="H786" s="427"/>
      <c r="I786" s="98" t="str">
        <f ca="1">IF(J785&gt;=3,(MID(I785,2,1)&amp;MID(I785,4,3)-K785),CELL("address",Z786))</f>
        <v>G787</v>
      </c>
      <c r="J786" s="98" t="str">
        <f ca="1">IF(J785&gt;=4,(MID(I786,1,1)&amp;MID(I786,2,3)+1),CELL("address",AA786))</f>
        <v>G788</v>
      </c>
      <c r="K786" s="98" t="str">
        <f ca="1">IF(J785&gt;=5,(MID(J786,1,1)&amp;MID(J786,2,3)+1),CELL("address",AB786))</f>
        <v>G789</v>
      </c>
      <c r="L786" s="98" t="str">
        <f ca="1">IF(J785&gt;=6,(MID(K786,1,1)&amp;MID(K786,2,3)+1),CELL("address",AC786))</f>
        <v>$AC$786</v>
      </c>
      <c r="M786" s="98" t="str">
        <f ca="1">IF(J785&gt;=7,(MID(L786,1,1)&amp;MID(L786,2,3)+1),CELL("address",AD786))</f>
        <v>$AD$786</v>
      </c>
      <c r="N786" s="98" t="str">
        <f ca="1">IF(J785&gt;=8,(MID(M786,1,1)&amp;MID(M786,2,3)+1),CELL("address",AE786))</f>
        <v>$AE$786</v>
      </c>
      <c r="O786" s="98" t="str">
        <f ca="1">IF(J785&gt;=9,(MID(N786,1,1)&amp;MID(N786,2,3)+1),CELL("address",AF786))</f>
        <v>$AF$786</v>
      </c>
      <c r="P786" s="98" t="str">
        <f ca="1">IF(J785&gt;=10,(MID(O786,1,1)&amp;MID(O786,2,3)+1),CELL("address",AG786))</f>
        <v>$AG$786</v>
      </c>
      <c r="Q786" s="98" t="str">
        <f ca="1">IF(J785&gt;=11,(MID(P786,1,1)&amp;MID(P786,2,3)+1),CELL("address",AH786))</f>
        <v>$AH$786</v>
      </c>
      <c r="R786" s="98" t="str">
        <f ca="1">IF(J785&gt;=12,(MID(Q786,1,1)&amp;MID(Q786,2,3)+1),CELL("address",AI786))</f>
        <v>$AI$786</v>
      </c>
    </row>
    <row r="787" spans="1:21" ht="15" customHeight="1">
      <c r="A787" s="328"/>
      <c r="B787" s="328"/>
      <c r="C787" s="327"/>
      <c r="D787" s="281" t="s">
        <v>64</v>
      </c>
      <c r="E787" s="179">
        <v>0.465</v>
      </c>
      <c r="F787" s="98">
        <v>0.32</v>
      </c>
      <c r="G787" s="92" t="str">
        <f>CONCATENATE(D787," - ",E787,", ")</f>
        <v>Teen Patra scrap - 0.465, </v>
      </c>
      <c r="H787" s="426"/>
      <c r="I787" s="98"/>
      <c r="J787" s="98"/>
      <c r="K787" s="98"/>
      <c r="L787" s="98"/>
      <c r="M787" s="98"/>
      <c r="N787" s="98"/>
      <c r="O787" s="98"/>
      <c r="Q787" s="364"/>
      <c r="R787" s="364"/>
      <c r="S787" s="364"/>
      <c r="T787" s="364"/>
      <c r="U787" s="364"/>
    </row>
    <row r="788" spans="1:21" ht="15" customHeight="1">
      <c r="A788" s="328"/>
      <c r="B788" s="328"/>
      <c r="C788" s="327"/>
      <c r="D788" s="81" t="s">
        <v>198</v>
      </c>
      <c r="E788" s="58">
        <v>0.046</v>
      </c>
      <c r="G788" s="92" t="str">
        <f>CONCATENATE(D788," - ",E788,", ")</f>
        <v>G.I. Scrap - 0.046, </v>
      </c>
      <c r="H788" s="1"/>
      <c r="Q788" s="365"/>
      <c r="R788" s="365"/>
      <c r="S788" s="365"/>
      <c r="T788" s="365"/>
      <c r="U788" s="365"/>
    </row>
    <row r="789" spans="1:8" ht="15" customHeight="1">
      <c r="A789" s="39"/>
      <c r="B789" s="41"/>
      <c r="C789" s="48"/>
      <c r="D789" s="38"/>
      <c r="E789" s="179"/>
      <c r="H789" s="1"/>
    </row>
    <row r="790" spans="1:15" ht="15" customHeight="1">
      <c r="A790" s="335"/>
      <c r="B790" s="336"/>
      <c r="C790" s="40"/>
      <c r="D790" s="56"/>
      <c r="E790" s="57">
        <f>SUM(E792:E795)</f>
        <v>3.316</v>
      </c>
      <c r="F790" s="197"/>
      <c r="G790" s="98"/>
      <c r="H790" s="426"/>
      <c r="I790" s="98"/>
      <c r="J790" s="98"/>
      <c r="K790" s="98"/>
      <c r="L790" s="98"/>
      <c r="M790" s="98"/>
      <c r="N790" s="98"/>
      <c r="O790" s="98"/>
    </row>
    <row r="791" spans="1:18" ht="15" customHeight="1">
      <c r="A791" s="329" t="s">
        <v>5</v>
      </c>
      <c r="B791" s="329"/>
      <c r="C791" s="40" t="s">
        <v>17</v>
      </c>
      <c r="D791" s="212" t="s">
        <v>18</v>
      </c>
      <c r="E791" s="39" t="s">
        <v>7</v>
      </c>
      <c r="F791" s="98"/>
      <c r="G791" s="93" t="str">
        <f>CONCATENATE("Misc. Iron Scrap, Lying at ",C792,". Quantity in MT - ")</f>
        <v>Misc. Iron Scrap, Lying at OL Fazilka. Quantity in MT - </v>
      </c>
      <c r="H791" s="427" t="str">
        <f ca="1">CONCATENATE(G791,G792,(INDIRECT(I792)),(INDIRECT(J792)),(INDIRECT(K792)),(INDIRECT(L792)),(INDIRECT(M792)),(INDIRECT(N792)),(INDIRECT(O792)),(INDIRECT(P792)),(INDIRECT(Q792)),(INDIRECT(R792)),".")</f>
        <v>Misc. Iron Scrap, Lying at OL Fazilka. Quantity in MT - MS iron scrap - 2.791, Teen Patra scrap - 0.17, MS Rail scrap - 0.35, M.S. Nuts &amp; Bolts Scrap - 0.005, .</v>
      </c>
      <c r="I791" s="98" t="str">
        <f aca="true" ca="1" t="array" ref="I791">CELL("address",INDEX(G791:G812,MATCH(TRUE,ISBLANK(G791:G812),0)))</f>
        <v>$G$796</v>
      </c>
      <c r="J791" s="98">
        <f aca="true" t="array" ref="J791">MATCH(TRUE,ISBLANK(G791:G812),0)</f>
        <v>6</v>
      </c>
      <c r="K791" s="98">
        <f>J791-3</f>
        <v>3</v>
      </c>
      <c r="L791" s="98"/>
      <c r="M791" s="98"/>
      <c r="N791" s="98"/>
      <c r="O791" s="98"/>
      <c r="P791" s="98"/>
      <c r="Q791" s="98"/>
      <c r="R791" s="98"/>
    </row>
    <row r="792" spans="1:18" ht="15" customHeight="1">
      <c r="A792" s="413" t="s">
        <v>66</v>
      </c>
      <c r="B792" s="414"/>
      <c r="C792" s="337" t="s">
        <v>112</v>
      </c>
      <c r="D792" s="316" t="s">
        <v>29</v>
      </c>
      <c r="E792" s="318">
        <v>2.791</v>
      </c>
      <c r="F792" s="1">
        <v>2.282</v>
      </c>
      <c r="G792" s="92" t="str">
        <f>CONCATENATE(D792," - ",E792,", ")</f>
        <v>MS iron scrap - 2.791, </v>
      </c>
      <c r="H792" s="427"/>
      <c r="I792" s="98" t="str">
        <f ca="1">IF(J791&gt;=3,(MID(I791,2,1)&amp;MID(I791,4,3)-K791),CELL("address",Z792))</f>
        <v>G793</v>
      </c>
      <c r="J792" s="98" t="str">
        <f ca="1">IF(J791&gt;=4,(MID(I792,1,1)&amp;MID(I792,2,3)+1),CELL("address",AA792))</f>
        <v>G794</v>
      </c>
      <c r="K792" s="98" t="str">
        <f ca="1">IF(J791&gt;=5,(MID(J792,1,1)&amp;MID(J792,2,3)+1),CELL("address",AB792))</f>
        <v>G795</v>
      </c>
      <c r="L792" s="98" t="str">
        <f ca="1">IF(J791&gt;=6,(MID(K792,1,1)&amp;MID(K792,2,3)+1),CELL("address",AC792))</f>
        <v>G796</v>
      </c>
      <c r="M792" s="98" t="str">
        <f ca="1">IF(J791&gt;=7,(MID(L792,1,1)&amp;MID(L792,2,3)+1),CELL("address",AD792))</f>
        <v>$AD$792</v>
      </c>
      <c r="N792" s="98" t="str">
        <f ca="1">IF(J791&gt;=8,(MID(M792,1,1)&amp;MID(M792,2,3)+1),CELL("address",AE792))</f>
        <v>$AE$792</v>
      </c>
      <c r="O792" s="98" t="str">
        <f ca="1">IF(J791&gt;=9,(MID(N792,1,1)&amp;MID(N792,2,3)+1),CELL("address",AF792))</f>
        <v>$AF$792</v>
      </c>
      <c r="P792" s="98" t="str">
        <f ca="1">IF(J791&gt;=10,(MID(O792,1,1)&amp;MID(O792,2,3)+1),CELL("address",AG792))</f>
        <v>$AG$792</v>
      </c>
      <c r="Q792" s="98" t="str">
        <f ca="1">IF(J791&gt;=11,(MID(P792,1,1)&amp;MID(P792,2,3)+1),CELL("address",AH792))</f>
        <v>$AH$792</v>
      </c>
      <c r="R792" s="98" t="str">
        <f ca="1">IF(J791&gt;=12,(MID(Q792,1,1)&amp;MID(Q792,2,3)+1),CELL("address",AI792))</f>
        <v>$AI$792</v>
      </c>
    </row>
    <row r="793" spans="1:8" ht="15" customHeight="1">
      <c r="A793" s="415"/>
      <c r="B793" s="416"/>
      <c r="C793" s="338"/>
      <c r="D793" s="81" t="s">
        <v>64</v>
      </c>
      <c r="E793" s="58">
        <v>0.17</v>
      </c>
      <c r="G793" s="92" t="str">
        <f>CONCATENATE(D793," - ",E793,", ")</f>
        <v>Teen Patra scrap - 0.17, </v>
      </c>
      <c r="H793" s="1"/>
    </row>
    <row r="794" spans="1:8" ht="15" customHeight="1">
      <c r="A794" s="415"/>
      <c r="B794" s="416"/>
      <c r="C794" s="338"/>
      <c r="D794" s="312" t="s">
        <v>61</v>
      </c>
      <c r="E794" s="318">
        <v>0.35</v>
      </c>
      <c r="F794" s="1" t="s">
        <v>710</v>
      </c>
      <c r="G794" s="92" t="str">
        <f>CONCATENATE(D794," - ",E794,", ")</f>
        <v>MS Rail scrap - 0.35, </v>
      </c>
      <c r="H794" s="1"/>
    </row>
    <row r="795" spans="1:8" ht="15" customHeight="1">
      <c r="A795" s="417"/>
      <c r="B795" s="418"/>
      <c r="C795" s="339"/>
      <c r="D795" s="281" t="s">
        <v>199</v>
      </c>
      <c r="E795" s="318">
        <v>0.005</v>
      </c>
      <c r="F795" s="1" t="s">
        <v>710</v>
      </c>
      <c r="G795" s="92" t="str">
        <f>CONCATENATE(D795," - ",E795,", ")</f>
        <v>M.S. Nuts &amp; Bolts Scrap - 0.005, </v>
      </c>
      <c r="H795" s="1"/>
    </row>
    <row r="796" spans="1:15" ht="15" customHeight="1">
      <c r="A796" s="325"/>
      <c r="B796" s="326"/>
      <c r="C796" s="212"/>
      <c r="D796" s="40"/>
      <c r="E796" s="58"/>
      <c r="F796" s="98"/>
      <c r="G796" s="98"/>
      <c r="H796" s="426"/>
      <c r="I796" s="98"/>
      <c r="J796" s="98"/>
      <c r="K796" s="98"/>
      <c r="L796" s="98"/>
      <c r="M796" s="98"/>
      <c r="N796" s="98"/>
      <c r="O796" s="98"/>
    </row>
    <row r="797" spans="1:15" ht="15" customHeight="1">
      <c r="A797" s="335"/>
      <c r="B797" s="336"/>
      <c r="C797" s="40"/>
      <c r="D797" s="56"/>
      <c r="E797" s="163">
        <f>SUM(E799:E799)</f>
        <v>100</v>
      </c>
      <c r="F797" s="98"/>
      <c r="G797" s="98"/>
      <c r="H797" s="426"/>
      <c r="I797" s="98" t="str">
        <f ca="1">IF(G796&gt;=6,(MID(H797,1,1)&amp;MID(H797,2,3)+1),CELL("address",Z797))</f>
        <v>$Z$797</v>
      </c>
      <c r="J797" s="98" t="str">
        <f ca="1">IF(G796&gt;=7,(MID(I797,1,1)&amp;MID(I797,2,3)+1),CELL("address",AA797))</f>
        <v>$AA$797</v>
      </c>
      <c r="K797" s="98" t="str">
        <f ca="1">IF(G796&gt;=8,(MID(J797,1,1)&amp;MID(J797,2,3)+1),CELL("address",AB797))</f>
        <v>$AB$797</v>
      </c>
      <c r="L797" s="98" t="str">
        <f ca="1">IF(G796&gt;=9,(MID(K797,1,1)&amp;MID(K797,2,3)+1),CELL("address",AC797))</f>
        <v>$AC$797</v>
      </c>
      <c r="M797" s="98" t="str">
        <f ca="1">IF(G796&gt;=10,(MID(L797,1,1)&amp;MID(L797,2,3)+1),CELL("address",AD797))</f>
        <v>$AD$797</v>
      </c>
      <c r="N797" s="98" t="str">
        <f ca="1">IF(G796&gt;=11,(MID(M797,1,1)&amp;MID(M797,2,3)+1),CELL("address",AE797))</f>
        <v>$AE$797</v>
      </c>
      <c r="O797" s="98" t="str">
        <f ca="1">IF(G796&gt;=12,(MID(N797,1,1)&amp;MID(N797,2,3)+1),CELL("address",AF797))</f>
        <v>$AF$797</v>
      </c>
    </row>
    <row r="798" spans="1:18" ht="15" customHeight="1">
      <c r="A798" s="329" t="s">
        <v>5</v>
      </c>
      <c r="B798" s="329"/>
      <c r="C798" s="40" t="s">
        <v>17</v>
      </c>
      <c r="D798" s="212" t="s">
        <v>18</v>
      </c>
      <c r="E798" s="39" t="s">
        <v>7</v>
      </c>
      <c r="G798" s="93" t="str">
        <f>CONCATENATE("Misc. Iron Scrap, Lying at ",C799,". Quantity in MT - ")</f>
        <v>Misc. Iron Scrap, Lying at S &amp; T Store Bathinda. Quantity in MT - </v>
      </c>
      <c r="H798" s="427" t="str">
        <f ca="1">CONCATENATE(G798,G799,(INDIRECT(I799)),(INDIRECT(J799)),(INDIRECT(K799)),(INDIRECT(L799)),(INDIRECT(M799)),(INDIRECT(N799)),(INDIRECT(O799)),(INDIRECT(P799)),(INDIRECT(Q799)),(INDIRECT(R799)),".")</f>
        <v>Misc. Iron Scrap, Lying at S &amp; T Store Bathinda. Quantity in MT - MS Rail scrap - 100, .</v>
      </c>
      <c r="I798" s="98" t="str">
        <f aca="true" ca="1" t="array" ref="I798">CELL("address",INDEX(G798:G818,MATCH(TRUE,ISBLANK(G798:G818),0)))</f>
        <v>$G$800</v>
      </c>
      <c r="J798" s="98">
        <f aca="true" t="array" ref="J798">MATCH(TRUE,ISBLANK(G798:G818),0)</f>
        <v>3</v>
      </c>
      <c r="K798" s="98">
        <f>J798-3</f>
        <v>0</v>
      </c>
      <c r="L798" s="98"/>
      <c r="M798" s="98"/>
      <c r="N798" s="98"/>
      <c r="O798" s="98"/>
      <c r="P798" s="98"/>
      <c r="Q798" s="98"/>
      <c r="R798" s="98"/>
    </row>
    <row r="799" spans="1:18" ht="15" customHeight="1">
      <c r="A799" s="329" t="s">
        <v>67</v>
      </c>
      <c r="B799" s="329"/>
      <c r="C799" s="212" t="s">
        <v>57</v>
      </c>
      <c r="D799" s="40" t="s">
        <v>61</v>
      </c>
      <c r="E799" s="69">
        <v>100</v>
      </c>
      <c r="G799" s="92" t="str">
        <f>CONCATENATE(D799," - ",E799,", ")</f>
        <v>MS Rail scrap - 100, </v>
      </c>
      <c r="H799" s="427"/>
      <c r="I799" s="98" t="str">
        <f ca="1">IF(J798&gt;=3,(MID(I798,2,1)&amp;MID(I798,4,3)-K798),CELL("address",Z799))</f>
        <v>G800</v>
      </c>
      <c r="J799" s="98" t="str">
        <f ca="1">IF(J798&gt;=4,(MID(I799,1,1)&amp;MID(I799,2,3)+1),CELL("address",AA799))</f>
        <v>$AA$799</v>
      </c>
      <c r="K799" s="98" t="str">
        <f ca="1">IF(J798&gt;=5,(MID(J799,1,1)&amp;MID(J799,2,3)+1),CELL("address",AB799))</f>
        <v>$AB$799</v>
      </c>
      <c r="L799" s="98" t="str">
        <f ca="1">IF(J798&gt;=6,(MID(K799,1,1)&amp;MID(K799,2,3)+1),CELL("address",AC799))</f>
        <v>$AC$799</v>
      </c>
      <c r="M799" s="98" t="str">
        <f ca="1">IF(J798&gt;=7,(MID(L799,1,1)&amp;MID(L799,2,3)+1),CELL("address",AD799))</f>
        <v>$AD$799</v>
      </c>
      <c r="N799" s="98" t="str">
        <f ca="1">IF(J798&gt;=8,(MID(M799,1,1)&amp;MID(M799,2,3)+1),CELL("address",AE799))</f>
        <v>$AE$799</v>
      </c>
      <c r="O799" s="98" t="str">
        <f ca="1">IF(J798&gt;=9,(MID(N799,1,1)&amp;MID(N799,2,3)+1),CELL("address",AF799))</f>
        <v>$AF$799</v>
      </c>
      <c r="P799" s="98" t="str">
        <f ca="1">IF(J798&gt;=10,(MID(O799,1,1)&amp;MID(O799,2,3)+1),CELL("address",AG799))</f>
        <v>$AG$799</v>
      </c>
      <c r="Q799" s="98" t="str">
        <f ca="1">IF(J798&gt;=11,(MID(P799,1,1)&amp;MID(P799,2,3)+1),CELL("address",AH799))</f>
        <v>$AH$799</v>
      </c>
      <c r="R799" s="98" t="str">
        <f ca="1">IF(J798&gt;=12,(MID(Q799,1,1)&amp;MID(Q799,2,3)+1),CELL("address",AI799))</f>
        <v>$AI$799</v>
      </c>
    </row>
    <row r="800" spans="1:8" ht="15" customHeight="1">
      <c r="A800" s="39"/>
      <c r="B800" s="41"/>
      <c r="C800" s="48"/>
      <c r="D800" s="41"/>
      <c r="E800" s="58"/>
      <c r="F800" s="121"/>
      <c r="H800" s="1"/>
    </row>
    <row r="801" spans="1:8" ht="15" customHeight="1">
      <c r="A801" s="53"/>
      <c r="B801" s="54"/>
      <c r="C801" s="54"/>
      <c r="D801" s="56"/>
      <c r="E801" s="57">
        <f>SUM(E803:E809)</f>
        <v>18.278</v>
      </c>
      <c r="H801" s="1"/>
    </row>
    <row r="802" spans="1:18" ht="15" customHeight="1">
      <c r="A802" s="329" t="s">
        <v>5</v>
      </c>
      <c r="B802" s="329"/>
      <c r="C802" s="40" t="s">
        <v>17</v>
      </c>
      <c r="D802" s="212" t="s">
        <v>18</v>
      </c>
      <c r="E802" s="39" t="s">
        <v>7</v>
      </c>
      <c r="G802" s="93" t="str">
        <f>CONCATENATE("Misc. Iron Scrap, Lying at ",C803,". Quantity in MT - ")</f>
        <v>Misc. Iron Scrap, Lying at CS Kotkapura. Quantity in MT - </v>
      </c>
      <c r="H802" s="427" t="str">
        <f ca="1">CONCATENATE(G802,G803,(INDIRECT(I803)),(INDIRECT(J803)),(INDIRECT(K803)),(INDIRECT(L803)),(INDIRECT(M803)),(INDIRECT(N803)),(INDIRECT(O803)),(INDIRECT(P803)),(INDIRECT(Q803)),(INDIRECT(R803)),".")</f>
        <v>Misc. Iron Scrap, Lying at CS Kotkapura. Quantity in MT - MS iron scrap - 5.62, Transformer body scrap - 5.854, Teen Patra scrap - 2.277, G.I. Scrap - 0.113, M.S. Nuts &amp; Bolts Scrap - 0.024, Tubular Poles scrap - 0.325, MS Rail scrap - 4.065, .</v>
      </c>
      <c r="I802" s="98" t="str">
        <f aca="true" ca="1" t="array" ref="I802">CELL("address",INDEX(G802:G822,MATCH(TRUE,ISBLANK(G802:G822),0)))</f>
        <v>$G$810</v>
      </c>
      <c r="J802" s="98">
        <f aca="true" t="array" ref="J802">MATCH(TRUE,ISBLANK(G802:G822),0)</f>
        <v>9</v>
      </c>
      <c r="K802" s="98">
        <f>J802-3</f>
        <v>6</v>
      </c>
      <c r="L802" s="98"/>
      <c r="M802" s="98"/>
      <c r="N802" s="98"/>
      <c r="O802" s="98"/>
      <c r="P802" s="98"/>
      <c r="Q802" s="98"/>
      <c r="R802" s="98"/>
    </row>
    <row r="803" spans="1:18" ht="15" customHeight="1">
      <c r="A803" s="328" t="s">
        <v>68</v>
      </c>
      <c r="B803" s="328"/>
      <c r="C803" s="327" t="s">
        <v>43</v>
      </c>
      <c r="D803" s="283" t="s">
        <v>29</v>
      </c>
      <c r="E803" s="179">
        <v>5.62</v>
      </c>
      <c r="F803" s="1">
        <v>4.418</v>
      </c>
      <c r="G803" s="92" t="str">
        <f aca="true" t="shared" si="3" ref="G803:G809">CONCATENATE(D803," - ",E803,", ")</f>
        <v>MS iron scrap - 5.62, </v>
      </c>
      <c r="H803" s="427"/>
      <c r="I803" s="98" t="str">
        <f ca="1">IF(J802&gt;=3,(MID(I802,2,1)&amp;MID(I802,4,3)-K802),CELL("address",Z803))</f>
        <v>G804</v>
      </c>
      <c r="J803" s="98" t="str">
        <f ca="1">IF(J802&gt;=4,(MID(I803,1,1)&amp;MID(I803,2,3)+1),CELL("address",AA803))</f>
        <v>G805</v>
      </c>
      <c r="K803" s="98" t="str">
        <f ca="1">IF(J802&gt;=5,(MID(J803,1,1)&amp;MID(J803,2,3)+1),CELL("address",AB803))</f>
        <v>G806</v>
      </c>
      <c r="L803" s="98" t="str">
        <f ca="1">IF(J802&gt;=6,(MID(K803,1,1)&amp;MID(K803,2,3)+1),CELL("address",AC803))</f>
        <v>G807</v>
      </c>
      <c r="M803" s="98" t="str">
        <f ca="1">IF(J802&gt;=7,(MID(L803,1,1)&amp;MID(L803,2,3)+1),CELL("address",AD803))</f>
        <v>G808</v>
      </c>
      <c r="N803" s="98" t="str">
        <f ca="1">IF(J802&gt;=8,(MID(M803,1,1)&amp;MID(M803,2,3)+1),CELL("address",AE803))</f>
        <v>G809</v>
      </c>
      <c r="O803" s="98" t="str">
        <f ca="1">IF(J802&gt;=9,(MID(N803,1,1)&amp;MID(N803,2,3)+1),CELL("address",AF803))</f>
        <v>G810</v>
      </c>
      <c r="P803" s="98" t="str">
        <f ca="1">IF(J802&gt;=10,(MID(O803,1,1)&amp;MID(O803,2,3)+1),CELL("address",AG803))</f>
        <v>$AG$803</v>
      </c>
      <c r="Q803" s="98" t="str">
        <f ca="1">IF(J802&gt;=11,(MID(P803,1,1)&amp;MID(P803,2,3)+1),CELL("address",AH803))</f>
        <v>$AH$803</v>
      </c>
      <c r="R803" s="98" t="str">
        <f ca="1">IF(J802&gt;=12,(MID(Q803,1,1)&amp;MID(Q803,2,3)+1),CELL("address",AI803))</f>
        <v>$AI$803</v>
      </c>
    </row>
    <row r="804" spans="1:8" ht="15" customHeight="1">
      <c r="A804" s="328"/>
      <c r="B804" s="328"/>
      <c r="C804" s="327"/>
      <c r="D804" s="281" t="s">
        <v>60</v>
      </c>
      <c r="E804" s="179">
        <v>5.854</v>
      </c>
      <c r="F804" s="1">
        <v>3.835</v>
      </c>
      <c r="G804" s="92" t="str">
        <f t="shared" si="3"/>
        <v>Transformer body scrap - 5.854, </v>
      </c>
      <c r="H804" s="1"/>
    </row>
    <row r="805" spans="1:15" ht="15" customHeight="1">
      <c r="A805" s="328"/>
      <c r="B805" s="328"/>
      <c r="C805" s="327"/>
      <c r="D805" s="281" t="s">
        <v>64</v>
      </c>
      <c r="E805" s="179">
        <v>2.277</v>
      </c>
      <c r="F805" s="98">
        <v>1.149</v>
      </c>
      <c r="G805" s="92" t="str">
        <f t="shared" si="3"/>
        <v>Teen Patra scrap - 2.277, </v>
      </c>
      <c r="H805" s="426"/>
      <c r="I805" s="98"/>
      <c r="J805" s="98"/>
      <c r="K805" s="98"/>
      <c r="L805" s="98"/>
      <c r="M805" s="98"/>
      <c r="N805" s="98"/>
      <c r="O805" s="98"/>
    </row>
    <row r="806" spans="1:15" ht="15" customHeight="1">
      <c r="A806" s="328"/>
      <c r="B806" s="328"/>
      <c r="C806" s="327"/>
      <c r="D806" s="281" t="s">
        <v>198</v>
      </c>
      <c r="E806" s="179">
        <v>0.113</v>
      </c>
      <c r="F806" s="98">
        <v>0.105</v>
      </c>
      <c r="G806" s="92" t="str">
        <f t="shared" si="3"/>
        <v>G.I. Scrap - 0.113, </v>
      </c>
      <c r="H806" s="426"/>
      <c r="I806" s="98" t="e">
        <f ca="1">IF(G805&gt;=6,(MID(H806,1,1)&amp;MID(H806,2,3)+1),CELL("address",Z806))</f>
        <v>#VALUE!</v>
      </c>
      <c r="J806" s="98" t="e">
        <f ca="1">IF(G805&gt;=7,(MID(I806,1,1)&amp;MID(I806,2,3)+1),CELL("address",AA806))</f>
        <v>#VALUE!</v>
      </c>
      <c r="K806" s="98" t="e">
        <f ca="1">IF(G805&gt;=8,(MID(J806,1,1)&amp;MID(J806,2,3)+1),CELL("address",AB806))</f>
        <v>#VALUE!</v>
      </c>
      <c r="L806" s="98" t="e">
        <f ca="1">IF(G805&gt;=9,(MID(K806,1,1)&amp;MID(K806,2,3)+1),CELL("address",AC806))</f>
        <v>#VALUE!</v>
      </c>
      <c r="M806" s="98" t="e">
        <f ca="1">IF(G805&gt;=10,(MID(L806,1,1)&amp;MID(L806,2,3)+1),CELL("address",AD806))</f>
        <v>#VALUE!</v>
      </c>
      <c r="N806" s="98" t="e">
        <f ca="1">IF(G805&gt;=11,(MID(M806,1,1)&amp;MID(M806,2,3)+1),CELL("address",AE806))</f>
        <v>#VALUE!</v>
      </c>
      <c r="O806" s="98" t="e">
        <f ca="1">IF(G805&gt;=12,(MID(N806,1,1)&amp;MID(N806,2,3)+1),CELL("address",AF806))</f>
        <v>#VALUE!</v>
      </c>
    </row>
    <row r="807" spans="1:8" ht="15" customHeight="1">
      <c r="A807" s="328"/>
      <c r="B807" s="328"/>
      <c r="C807" s="327"/>
      <c r="D807" s="281" t="s">
        <v>199</v>
      </c>
      <c r="E807" s="179">
        <v>0.024</v>
      </c>
      <c r="F807" s="1">
        <v>0.02</v>
      </c>
      <c r="G807" s="92" t="str">
        <f t="shared" si="3"/>
        <v>M.S. Nuts &amp; Bolts Scrap - 0.024, </v>
      </c>
      <c r="H807" s="1"/>
    </row>
    <row r="808" spans="1:8" ht="15" customHeight="1">
      <c r="A808" s="328"/>
      <c r="B808" s="328"/>
      <c r="C808" s="327"/>
      <c r="D808" s="42" t="s">
        <v>420</v>
      </c>
      <c r="E808" s="58">
        <v>0.325</v>
      </c>
      <c r="G808" s="92" t="str">
        <f t="shared" si="3"/>
        <v>Tubular Poles scrap - 0.325, </v>
      </c>
      <c r="H808" s="1"/>
    </row>
    <row r="809" spans="1:8" ht="15" customHeight="1">
      <c r="A809" s="39"/>
      <c r="B809" s="41"/>
      <c r="C809" s="48"/>
      <c r="D809" s="305" t="s">
        <v>61</v>
      </c>
      <c r="E809" s="179">
        <v>4.065</v>
      </c>
      <c r="F809" s="1" t="s">
        <v>681</v>
      </c>
      <c r="G809" s="92" t="str">
        <f t="shared" si="3"/>
        <v>MS Rail scrap - 4.065, </v>
      </c>
      <c r="H809" s="1"/>
    </row>
    <row r="810" spans="1:8" ht="15" customHeight="1">
      <c r="A810" s="39"/>
      <c r="B810" s="41"/>
      <c r="C810" s="48"/>
      <c r="D810" s="224"/>
      <c r="E810" s="179"/>
      <c r="F810" s="121"/>
      <c r="H810" s="1"/>
    </row>
    <row r="811" spans="1:15" ht="15" customHeight="1">
      <c r="A811" s="53"/>
      <c r="B811" s="54"/>
      <c r="C811" s="54"/>
      <c r="D811" s="56"/>
      <c r="E811" s="57">
        <f>SUM(E813:E815)</f>
        <v>7.625</v>
      </c>
      <c r="F811" s="98"/>
      <c r="G811" s="98"/>
      <c r="H811" s="426"/>
      <c r="I811" s="98"/>
      <c r="J811" s="98"/>
      <c r="K811" s="98"/>
      <c r="L811" s="98"/>
      <c r="M811" s="98"/>
      <c r="N811" s="98"/>
      <c r="O811" s="98"/>
    </row>
    <row r="812" spans="1:18" ht="15" customHeight="1">
      <c r="A812" s="340" t="s">
        <v>5</v>
      </c>
      <c r="B812" s="340"/>
      <c r="C812" s="70" t="s">
        <v>17</v>
      </c>
      <c r="D812" s="212" t="s">
        <v>18</v>
      </c>
      <c r="E812" s="39" t="s">
        <v>7</v>
      </c>
      <c r="F812" s="98"/>
      <c r="G812" s="93" t="str">
        <f>CONCATENATE("Misc. Iron Scrap, Lying at ",C813,". Quantity in MT - ")</f>
        <v>Misc. Iron Scrap, Lying at OL Bhagta Bhai Ka. Quantity in MT - </v>
      </c>
      <c r="H812" s="427" t="str">
        <f ca="1">CONCATENATE(G812,G813,(INDIRECT(I813)),(INDIRECT(J813)),(INDIRECT(K813)),(INDIRECT(L813)),(INDIRECT(M813)),(INDIRECT(N813)),(INDIRECT(O813)),(INDIRECT(P813)),(INDIRECT(Q813)),(INDIRECT(R813)),".")</f>
        <v>Misc. Iron Scrap, Lying at OL Bhagta Bhai Ka. Quantity in MT - MS iron scrap - 1.234, Transformer body scrap - 6.343, Teen Patra scrap - 0.048, .</v>
      </c>
      <c r="I812" s="98" t="str">
        <f aca="true" ca="1" t="array" ref="I812">CELL("address",INDEX(G812:G831,MATCH(TRUE,ISBLANK(G812:G831),0)))</f>
        <v>$G$816</v>
      </c>
      <c r="J812" s="98">
        <f aca="true" t="array" ref="J812">MATCH(TRUE,ISBLANK(G812:G831),0)</f>
        <v>5</v>
      </c>
      <c r="K812" s="98">
        <f>J812-3</f>
        <v>2</v>
      </c>
      <c r="L812" s="98"/>
      <c r="M812" s="98"/>
      <c r="N812" s="98"/>
      <c r="O812" s="98"/>
      <c r="P812" s="98"/>
      <c r="Q812" s="98"/>
      <c r="R812" s="98"/>
    </row>
    <row r="813" spans="1:18" ht="15" customHeight="1">
      <c r="A813" s="328" t="s">
        <v>175</v>
      </c>
      <c r="B813" s="328"/>
      <c r="C813" s="327" t="s">
        <v>100</v>
      </c>
      <c r="D813" s="283" t="s">
        <v>29</v>
      </c>
      <c r="E813" s="304">
        <v>1.234</v>
      </c>
      <c r="F813" s="1">
        <v>0.884</v>
      </c>
      <c r="G813" s="92" t="str">
        <f>CONCATENATE(D813," - ",E813,", ")</f>
        <v>MS iron scrap - 1.234, </v>
      </c>
      <c r="H813" s="427"/>
      <c r="I813" s="98" t="str">
        <f ca="1">IF(J812&gt;=3,(MID(I812,2,1)&amp;MID(I812,4,3)-K812),CELL("address",Z813))</f>
        <v>G814</v>
      </c>
      <c r="J813" s="98" t="str">
        <f ca="1">IF(J812&gt;=4,(MID(I813,1,1)&amp;MID(I813,2,3)+1),CELL("address",AA813))</f>
        <v>G815</v>
      </c>
      <c r="K813" s="98" t="str">
        <f ca="1">IF(J812&gt;=5,(MID(J813,1,1)&amp;MID(J813,2,3)+1),CELL("address",AB813))</f>
        <v>G816</v>
      </c>
      <c r="L813" s="98" t="str">
        <f ca="1">IF(J812&gt;=6,(MID(K813,1,1)&amp;MID(K813,2,3)+1),CELL("address",AC813))</f>
        <v>$AC$813</v>
      </c>
      <c r="M813" s="98" t="str">
        <f ca="1">IF(J812&gt;=7,(MID(L813,1,1)&amp;MID(L813,2,3)+1),CELL("address",AD813))</f>
        <v>$AD$813</v>
      </c>
      <c r="N813" s="98" t="str">
        <f ca="1">IF(J812&gt;=8,(MID(M813,1,1)&amp;MID(M813,2,3)+1),CELL("address",AE813))</f>
        <v>$AE$813</v>
      </c>
      <c r="O813" s="98" t="str">
        <f ca="1">IF(J812&gt;=9,(MID(N813,1,1)&amp;MID(N813,2,3)+1),CELL("address",AF813))</f>
        <v>$AF$813</v>
      </c>
      <c r="P813" s="98" t="str">
        <f ca="1">IF(J812&gt;=10,(MID(O813,1,1)&amp;MID(O813,2,3)+1),CELL("address",AG813))</f>
        <v>$AG$813</v>
      </c>
      <c r="Q813" s="98" t="str">
        <f ca="1">IF(J812&gt;=11,(MID(P813,1,1)&amp;MID(P813,2,3)+1),CELL("address",AH813))</f>
        <v>$AH$813</v>
      </c>
      <c r="R813" s="98" t="str">
        <f ca="1">IF(J812&gt;=12,(MID(Q813,1,1)&amp;MID(Q813,2,3)+1),CELL("address",AI813))</f>
        <v>$AI$813</v>
      </c>
    </row>
    <row r="814" spans="1:8" ht="15" customHeight="1">
      <c r="A814" s="328"/>
      <c r="B814" s="328"/>
      <c r="C814" s="327"/>
      <c r="D814" s="281" t="s">
        <v>60</v>
      </c>
      <c r="E814" s="304">
        <v>6.343</v>
      </c>
      <c r="F814" s="1">
        <v>5.258</v>
      </c>
      <c r="G814" s="92" t="str">
        <f>CONCATENATE(D814," - ",E814,", ")</f>
        <v>Transformer body scrap - 6.343, </v>
      </c>
      <c r="H814" s="1"/>
    </row>
    <row r="815" spans="1:8" ht="15" customHeight="1">
      <c r="A815" s="328"/>
      <c r="B815" s="328"/>
      <c r="C815" s="327"/>
      <c r="D815" s="281" t="s">
        <v>64</v>
      </c>
      <c r="E815" s="179">
        <v>0.048</v>
      </c>
      <c r="F815" s="1">
        <v>0.032</v>
      </c>
      <c r="G815" s="92" t="str">
        <f>CONCATENATE(D815," - ",E815,", ")</f>
        <v>Teen Patra scrap - 0.048, </v>
      </c>
      <c r="H815" s="1"/>
    </row>
    <row r="816" spans="1:8" ht="15" customHeight="1">
      <c r="A816" s="39"/>
      <c r="B816" s="41"/>
      <c r="C816" s="48"/>
      <c r="D816" s="224"/>
      <c r="E816" s="179"/>
      <c r="H816" s="1"/>
    </row>
    <row r="817" spans="1:8" ht="15" customHeight="1">
      <c r="A817" s="53"/>
      <c r="B817" s="54"/>
      <c r="C817" s="54"/>
      <c r="D817" s="56"/>
      <c r="E817" s="57">
        <f>SUM(E819:E821)</f>
        <v>3.7880000000000003</v>
      </c>
      <c r="H817" s="1"/>
    </row>
    <row r="818" spans="1:18" ht="15" customHeight="1">
      <c r="A818" s="340" t="s">
        <v>5</v>
      </c>
      <c r="B818" s="340"/>
      <c r="C818" s="70" t="s">
        <v>17</v>
      </c>
      <c r="D818" s="212" t="s">
        <v>18</v>
      </c>
      <c r="E818" s="39" t="s">
        <v>7</v>
      </c>
      <c r="F818" s="98"/>
      <c r="G818" s="93" t="str">
        <f>CONCATENATE("Misc. Iron Scrap, Lying at ",C819,". Quantity in MT - ")</f>
        <v>Misc. Iron Scrap, Lying at OL Shri Mukfsar Sahib. Quantity in MT - </v>
      </c>
      <c r="H818" s="427" t="str">
        <f ca="1">CONCATENATE(G818,G819,(INDIRECT(I819)),(INDIRECT(J819)),(INDIRECT(K819)),(INDIRECT(L819)),(INDIRECT(M819)),(INDIRECT(N819)),(INDIRECT(O819)),(INDIRECT(P819)),(INDIRECT(Q819)),(INDIRECT(R819)),".")</f>
        <v>Misc. Iron Scrap, Lying at OL Shri Mukfsar Sahib. Quantity in MT - MS iron scrap - 1.233, Transformer body scrap - 2.302, G.I. scrap - 0.253, .</v>
      </c>
      <c r="I818" s="98" t="str">
        <f aca="true" ca="1" t="array" ref="I818">CELL("address",INDEX(G818:G835,MATCH(TRUE,ISBLANK(G818:G835),0)))</f>
        <v>$G$822</v>
      </c>
      <c r="J818" s="98">
        <f aca="true" t="array" ref="J818">MATCH(TRUE,ISBLANK(G818:G835),0)</f>
        <v>5</v>
      </c>
      <c r="K818" s="98">
        <f>J818-3</f>
        <v>2</v>
      </c>
      <c r="L818" s="98"/>
      <c r="M818" s="98"/>
      <c r="N818" s="98"/>
      <c r="O818" s="98"/>
      <c r="P818" s="98"/>
      <c r="Q818" s="98"/>
      <c r="R818" s="98"/>
    </row>
    <row r="819" spans="1:18" ht="15" customHeight="1">
      <c r="A819" s="328" t="s">
        <v>119</v>
      </c>
      <c r="B819" s="328"/>
      <c r="C819" s="327" t="s">
        <v>323</v>
      </c>
      <c r="D819" s="283" t="s">
        <v>29</v>
      </c>
      <c r="E819" s="291">
        <v>1.233</v>
      </c>
      <c r="F819" s="98">
        <v>0.764</v>
      </c>
      <c r="G819" s="92" t="str">
        <f>CONCATENATE(D819," - ",E819,", ")</f>
        <v>MS iron scrap - 1.233, </v>
      </c>
      <c r="H819" s="427"/>
      <c r="I819" s="98" t="str">
        <f ca="1">IF(J818&gt;=3,(MID(I818,2,1)&amp;MID(I818,4,3)-K818),CELL("address",Z819))</f>
        <v>G820</v>
      </c>
      <c r="J819" s="98" t="str">
        <f ca="1">IF(J818&gt;=4,(MID(I819,1,1)&amp;MID(I819,2,3)+1),CELL("address",AA819))</f>
        <v>G821</v>
      </c>
      <c r="K819" s="98" t="str">
        <f ca="1">IF(J818&gt;=5,(MID(J819,1,1)&amp;MID(J819,2,3)+1),CELL("address",AB819))</f>
        <v>G822</v>
      </c>
      <c r="L819" s="98" t="str">
        <f ca="1">IF(J818&gt;=6,(MID(K819,1,1)&amp;MID(K819,2,3)+1),CELL("address",AC819))</f>
        <v>$AC$819</v>
      </c>
      <c r="M819" s="98" t="str">
        <f ca="1">IF(J818&gt;=7,(MID(L819,1,1)&amp;MID(L819,2,3)+1),CELL("address",AD819))</f>
        <v>$AD$819</v>
      </c>
      <c r="N819" s="98" t="str">
        <f ca="1">IF(J818&gt;=8,(MID(M819,1,1)&amp;MID(M819,2,3)+1),CELL("address",AE819))</f>
        <v>$AE$819</v>
      </c>
      <c r="O819" s="98" t="str">
        <f ca="1">IF(J818&gt;=9,(MID(N819,1,1)&amp;MID(N819,2,3)+1),CELL("address",AF819))</f>
        <v>$AF$819</v>
      </c>
      <c r="P819" s="98" t="str">
        <f ca="1">IF(J818&gt;=10,(MID(O819,1,1)&amp;MID(O819,2,3)+1),CELL("address",AG819))</f>
        <v>$AG$819</v>
      </c>
      <c r="Q819" s="98" t="str">
        <f ca="1">IF(J818&gt;=11,(MID(P819,1,1)&amp;MID(P819,2,3)+1),CELL("address",AH819))</f>
        <v>$AH$819</v>
      </c>
      <c r="R819" s="98" t="str">
        <f ca="1">IF(J818&gt;=12,(MID(Q819,1,1)&amp;MID(Q819,2,3)+1),CELL("address",AI819))</f>
        <v>$AI$819</v>
      </c>
    </row>
    <row r="820" spans="1:15" ht="15" customHeight="1">
      <c r="A820" s="328"/>
      <c r="B820" s="328"/>
      <c r="C820" s="327"/>
      <c r="D820" s="81" t="s">
        <v>60</v>
      </c>
      <c r="E820" s="69">
        <v>2.302</v>
      </c>
      <c r="F820" s="98"/>
      <c r="G820" s="92" t="str">
        <f>CONCATENATE(D820," - ",E820,", ")</f>
        <v>Transformer body scrap - 2.302, </v>
      </c>
      <c r="H820" s="426"/>
      <c r="I820" s="98"/>
      <c r="J820" s="98"/>
      <c r="K820" s="98"/>
      <c r="L820" s="98"/>
      <c r="M820" s="98"/>
      <c r="N820" s="98"/>
      <c r="O820" s="98"/>
    </row>
    <row r="821" spans="1:15" ht="15" customHeight="1">
      <c r="A821" s="328"/>
      <c r="B821" s="328"/>
      <c r="C821" s="327"/>
      <c r="D821" s="281" t="s">
        <v>193</v>
      </c>
      <c r="E821" s="179">
        <v>0.253</v>
      </c>
      <c r="F821" s="98">
        <v>0.19</v>
      </c>
      <c r="G821" s="92" t="str">
        <f>CONCATENATE(D821," - ",E821,", ")</f>
        <v>G.I. scrap - 0.253, </v>
      </c>
      <c r="H821" s="426"/>
      <c r="I821" s="98"/>
      <c r="J821" s="98"/>
      <c r="K821" s="98"/>
      <c r="L821" s="98"/>
      <c r="M821" s="98"/>
      <c r="N821" s="98"/>
      <c r="O821" s="98"/>
    </row>
    <row r="822" spans="1:15" ht="15" customHeight="1">
      <c r="A822" s="39"/>
      <c r="B822" s="41"/>
      <c r="C822" s="48"/>
      <c r="D822" s="224"/>
      <c r="E822" s="179"/>
      <c r="F822" s="98"/>
      <c r="G822" s="98"/>
      <c r="H822" s="426"/>
      <c r="I822" s="98"/>
      <c r="J822" s="98"/>
      <c r="K822" s="98"/>
      <c r="L822" s="98"/>
      <c r="M822" s="98"/>
      <c r="N822" s="98"/>
      <c r="O822" s="98"/>
    </row>
    <row r="823" spans="1:15" ht="15" customHeight="1">
      <c r="A823" s="53"/>
      <c r="B823" s="54"/>
      <c r="C823" s="54"/>
      <c r="D823" s="56"/>
      <c r="E823" s="57">
        <f>SUM(E825:E826)</f>
        <v>3.643</v>
      </c>
      <c r="F823" s="197"/>
      <c r="G823" s="98"/>
      <c r="H823" s="426"/>
      <c r="I823" s="98"/>
      <c r="J823" s="98"/>
      <c r="K823" s="98"/>
      <c r="L823" s="98"/>
      <c r="M823" s="98"/>
      <c r="N823" s="98"/>
      <c r="O823" s="98"/>
    </row>
    <row r="824" spans="1:18" ht="15" customHeight="1">
      <c r="A824" s="340" t="s">
        <v>5</v>
      </c>
      <c r="B824" s="340"/>
      <c r="C824" s="70" t="s">
        <v>17</v>
      </c>
      <c r="D824" s="212" t="s">
        <v>18</v>
      </c>
      <c r="E824" s="39" t="s">
        <v>7</v>
      </c>
      <c r="F824" s="98"/>
      <c r="G824" s="93" t="str">
        <f>CONCATENATE("Misc. Iron Scrap, Lying at ",C825,". Quantity in MT - ")</f>
        <v>Misc. Iron Scrap, Lying at OL Rajpura. Quantity in MT - </v>
      </c>
      <c r="H824" s="427" t="str">
        <f ca="1">CONCATENATE(G824,G825,(INDIRECT(I825)),(INDIRECT(J825)),(INDIRECT(K825)),(INDIRECT(L825)),(INDIRECT(M825)),(INDIRECT(N825)),(INDIRECT(O825)),(INDIRECT(P825)),(INDIRECT(Q825)),(INDIRECT(R825)),".")</f>
        <v>Misc. Iron Scrap, Lying at OL Rajpura. Quantity in MT - MS iron scrap - 2.193, MS Rail scrap - 1.45, .</v>
      </c>
      <c r="I824" s="98" t="str">
        <f aca="true" ca="1" t="array" ref="I824">CELL("address",INDEX(G824:G842,MATCH(TRUE,ISBLANK(G824:G842),0)))</f>
        <v>$G$827</v>
      </c>
      <c r="J824" s="98">
        <f aca="true" t="array" ref="J824">MATCH(TRUE,ISBLANK(G824:G842),0)</f>
        <v>4</v>
      </c>
      <c r="K824" s="98">
        <f>J824-3</f>
        <v>1</v>
      </c>
      <c r="L824" s="98"/>
      <c r="M824" s="98"/>
      <c r="N824" s="98"/>
      <c r="O824" s="98"/>
      <c r="P824" s="98"/>
      <c r="Q824" s="98"/>
      <c r="R824" s="98"/>
    </row>
    <row r="825" spans="1:18" ht="15" customHeight="1">
      <c r="A825" s="328" t="s">
        <v>200</v>
      </c>
      <c r="B825" s="328"/>
      <c r="C825" s="327" t="s">
        <v>103</v>
      </c>
      <c r="D825" s="283" t="s">
        <v>29</v>
      </c>
      <c r="E825" s="304">
        <v>2.193</v>
      </c>
      <c r="F825" s="211">
        <v>1.507</v>
      </c>
      <c r="G825" s="92" t="str">
        <f>CONCATENATE(D825," - ",E825,", ")</f>
        <v>MS iron scrap - 2.193, </v>
      </c>
      <c r="H825" s="427"/>
      <c r="I825" s="98" t="str">
        <f ca="1">IF(J824&gt;=3,(MID(I824,2,1)&amp;MID(I824,4,3)-K824),CELL("address",Z825))</f>
        <v>G826</v>
      </c>
      <c r="J825" s="98" t="str">
        <f ca="1">IF(J824&gt;=4,(MID(I825,1,1)&amp;MID(I825,2,3)+1),CELL("address",AA825))</f>
        <v>G827</v>
      </c>
      <c r="K825" s="98" t="str">
        <f ca="1">IF(J824&gt;=5,(MID(J825,1,1)&amp;MID(J825,2,3)+1),CELL("address",AB825))</f>
        <v>$AB$825</v>
      </c>
      <c r="L825" s="98" t="str">
        <f ca="1">IF(J824&gt;=6,(MID(K825,1,1)&amp;MID(K825,2,3)+1),CELL("address",AC825))</f>
        <v>$AC$825</v>
      </c>
      <c r="M825" s="98" t="str">
        <f ca="1">IF(J824&gt;=7,(MID(L825,1,1)&amp;MID(L825,2,3)+1),CELL("address",AD825))</f>
        <v>$AD$825</v>
      </c>
      <c r="N825" s="98" t="str">
        <f ca="1">IF(J824&gt;=8,(MID(M825,1,1)&amp;MID(M825,2,3)+1),CELL("address",AE825))</f>
        <v>$AE$825</v>
      </c>
      <c r="O825" s="98" t="str">
        <f ca="1">IF(J824&gt;=9,(MID(N825,1,1)&amp;MID(N825,2,3)+1),CELL("address",AF825))</f>
        <v>$AF$825</v>
      </c>
      <c r="P825" s="98" t="str">
        <f ca="1">IF(J824&gt;=10,(MID(O825,1,1)&amp;MID(O825,2,3)+1),CELL("address",AG825))</f>
        <v>$AG$825</v>
      </c>
      <c r="Q825" s="98" t="str">
        <f ca="1">IF(J824&gt;=11,(MID(P825,1,1)&amp;MID(P825,2,3)+1),CELL("address",AH825))</f>
        <v>$AH$825</v>
      </c>
      <c r="R825" s="98" t="str">
        <f ca="1">IF(J824&gt;=12,(MID(Q825,1,1)&amp;MID(Q825,2,3)+1),CELL("address",AI825))</f>
        <v>$AI$825</v>
      </c>
    </row>
    <row r="826" spans="1:15" ht="15" customHeight="1">
      <c r="A826" s="328"/>
      <c r="B826" s="328"/>
      <c r="C826" s="327"/>
      <c r="D826" s="40" t="s">
        <v>61</v>
      </c>
      <c r="E826" s="58">
        <v>1.45</v>
      </c>
      <c r="F826" s="196"/>
      <c r="G826" s="92" t="str">
        <f>CONCATENATE(D826," - ",E826,", ")</f>
        <v>MS Rail scrap - 1.45, </v>
      </c>
      <c r="H826" s="426"/>
      <c r="I826" s="98"/>
      <c r="J826" s="98"/>
      <c r="K826" s="98"/>
      <c r="L826" s="98"/>
      <c r="M826" s="98"/>
      <c r="N826" s="98"/>
      <c r="O826" s="98"/>
    </row>
    <row r="827" spans="1:15" ht="15" customHeight="1">
      <c r="A827" s="39"/>
      <c r="B827" s="41"/>
      <c r="C827" s="48"/>
      <c r="D827" s="41"/>
      <c r="E827" s="58"/>
      <c r="F827" s="98"/>
      <c r="G827" s="98"/>
      <c r="H827" s="426"/>
      <c r="I827" s="98"/>
      <c r="J827" s="98"/>
      <c r="K827" s="98"/>
      <c r="L827" s="98"/>
      <c r="M827" s="98"/>
      <c r="N827" s="98"/>
      <c r="O827" s="98"/>
    </row>
    <row r="828" spans="1:15" ht="15" customHeight="1">
      <c r="A828" s="53"/>
      <c r="B828" s="54"/>
      <c r="C828" s="54"/>
      <c r="D828" s="56"/>
      <c r="E828" s="57">
        <f>SUM(E830:E830)</f>
        <v>2</v>
      </c>
      <c r="F828" s="98"/>
      <c r="G828" s="98"/>
      <c r="H828" s="426"/>
      <c r="I828" s="98" t="str">
        <f ca="1">IF(G827&gt;=6,(MID(H828,1,1)&amp;MID(H828,2,3)+1),CELL("address",Z828))</f>
        <v>$Z$828</v>
      </c>
      <c r="J828" s="98" t="str">
        <f ca="1">IF(G827&gt;=7,(MID(I828,1,1)&amp;MID(I828,2,3)+1),CELL("address",AA828))</f>
        <v>$AA$828</v>
      </c>
      <c r="K828" s="98" t="str">
        <f ca="1">IF(G827&gt;=8,(MID(J828,1,1)&amp;MID(J828,2,3)+1),CELL("address",AB828))</f>
        <v>$AB$828</v>
      </c>
      <c r="L828" s="98" t="str">
        <f ca="1">IF(G827&gt;=9,(MID(K828,1,1)&amp;MID(K828,2,3)+1),CELL("address",AC828))</f>
        <v>$AC$828</v>
      </c>
      <c r="M828" s="98" t="str">
        <f ca="1">IF(G827&gt;=10,(MID(L828,1,1)&amp;MID(L828,2,3)+1),CELL("address",AD828))</f>
        <v>$AD$828</v>
      </c>
      <c r="N828" s="98" t="str">
        <f ca="1">IF(G827&gt;=11,(MID(M828,1,1)&amp;MID(M828,2,3)+1),CELL("address",AE828))</f>
        <v>$AE$828</v>
      </c>
      <c r="O828" s="98" t="str">
        <f ca="1">IF(G827&gt;=12,(MID(N828,1,1)&amp;MID(N828,2,3)+1),CELL("address",AF828))</f>
        <v>$AF$828</v>
      </c>
    </row>
    <row r="829" spans="1:18" ht="15" customHeight="1">
      <c r="A829" s="340" t="s">
        <v>5</v>
      </c>
      <c r="B829" s="340"/>
      <c r="C829" s="70" t="s">
        <v>17</v>
      </c>
      <c r="D829" s="212" t="s">
        <v>18</v>
      </c>
      <c r="E829" s="39" t="s">
        <v>69</v>
      </c>
      <c r="F829" s="98"/>
      <c r="G829" s="93" t="str">
        <f>CONCATENATE("U/S Tyres, Lying at ",C830,". Quantity in No - ")</f>
        <v>U/S Tyres, Lying at CS Sangrur. Quantity in No - </v>
      </c>
      <c r="H829" s="427" t="str">
        <f ca="1">CONCATENATE(G829,G830,(INDIRECT(I830)),(INDIRECT(J830)),(INDIRECT(K830)),(INDIRECT(L830)),(INDIRECT(M830)),(INDIRECT(N830)),(INDIRECT(O830)),(INDIRECT(P830)),(INDIRECT(Q830)),(INDIRECT(R830)),".")</f>
        <v>U/S Tyres, Lying at CS Sangrur. Quantity in No - U/S Tyres - 2, .</v>
      </c>
      <c r="I829" s="98" t="str">
        <f aca="true" ca="1" t="array" ref="I829">CELL("address",INDEX(G829:G847,MATCH(TRUE,ISBLANK(G829:G847),0)))</f>
        <v>$G$831</v>
      </c>
      <c r="J829" s="98">
        <f aca="true" t="array" ref="J829">MATCH(TRUE,ISBLANK(G829:G847),0)</f>
        <v>3</v>
      </c>
      <c r="K829" s="98">
        <f>J829-3</f>
        <v>0</v>
      </c>
      <c r="L829" s="98"/>
      <c r="M829" s="98"/>
      <c r="N829" s="98"/>
      <c r="O829" s="98"/>
      <c r="P829" s="98"/>
      <c r="Q829" s="98"/>
      <c r="R829" s="98"/>
    </row>
    <row r="830" spans="1:18" ht="15" customHeight="1">
      <c r="A830" s="329" t="s">
        <v>207</v>
      </c>
      <c r="B830" s="329"/>
      <c r="C830" s="212" t="s">
        <v>79</v>
      </c>
      <c r="D830" s="42" t="s">
        <v>376</v>
      </c>
      <c r="E830" s="69">
        <v>2</v>
      </c>
      <c r="F830" s="98"/>
      <c r="G830" s="92" t="str">
        <f>CONCATENATE(D830," - ",E830,", ")</f>
        <v>U/S Tyres - 2, </v>
      </c>
      <c r="H830" s="427"/>
      <c r="I830" s="98" t="str">
        <f ca="1">IF(J829&gt;=3,(MID(I829,2,1)&amp;MID(I829,4,3)-K829),CELL("address",Z830))</f>
        <v>G831</v>
      </c>
      <c r="J830" s="98" t="str">
        <f ca="1">IF(J829&gt;=4,(MID(I830,1,1)&amp;MID(I830,2,3)+1),CELL("address",AA830))</f>
        <v>$AA$830</v>
      </c>
      <c r="K830" s="98" t="str">
        <f ca="1">IF(J829&gt;=5,(MID(J830,1,1)&amp;MID(J830,2,3)+1),CELL("address",AB830))</f>
        <v>$AB$830</v>
      </c>
      <c r="L830" s="98" t="str">
        <f ca="1">IF(J829&gt;=6,(MID(K830,1,1)&amp;MID(K830,2,3)+1),CELL("address",AC830))</f>
        <v>$AC$830</v>
      </c>
      <c r="M830" s="98" t="str">
        <f ca="1">IF(J829&gt;=7,(MID(L830,1,1)&amp;MID(L830,2,3)+1),CELL("address",AD830))</f>
        <v>$AD$830</v>
      </c>
      <c r="N830" s="98" t="str">
        <f ca="1">IF(J829&gt;=8,(MID(M830,1,1)&amp;MID(M830,2,3)+1),CELL("address",AE830))</f>
        <v>$AE$830</v>
      </c>
      <c r="O830" s="98" t="str">
        <f ca="1">IF(J829&gt;=9,(MID(N830,1,1)&amp;MID(N830,2,3)+1),CELL("address",AF830))</f>
        <v>$AF$830</v>
      </c>
      <c r="P830" s="98" t="str">
        <f ca="1">IF(J829&gt;=10,(MID(O830,1,1)&amp;MID(O830,2,3)+1),CELL("address",AG830))</f>
        <v>$AG$830</v>
      </c>
      <c r="Q830" s="98" t="str">
        <f ca="1">IF(J829&gt;=11,(MID(P830,1,1)&amp;MID(P830,2,3)+1),CELL("address",AH830))</f>
        <v>$AH$830</v>
      </c>
      <c r="R830" s="98" t="str">
        <f ca="1">IF(J829&gt;=12,(MID(Q830,1,1)&amp;MID(Q830,2,3)+1),CELL("address",AI830))</f>
        <v>$AI$830</v>
      </c>
    </row>
    <row r="831" spans="1:15" ht="15" customHeight="1">
      <c r="A831" s="39"/>
      <c r="B831" s="41"/>
      <c r="C831" s="48"/>
      <c r="D831" s="41"/>
      <c r="E831" s="58"/>
      <c r="F831" s="98"/>
      <c r="G831" s="98"/>
      <c r="H831" s="426"/>
      <c r="I831" s="98"/>
      <c r="J831" s="98"/>
      <c r="K831" s="98"/>
      <c r="L831" s="98"/>
      <c r="M831" s="98"/>
      <c r="N831" s="98"/>
      <c r="O831" s="98"/>
    </row>
    <row r="832" spans="1:15" ht="15" customHeight="1">
      <c r="A832" s="53"/>
      <c r="B832" s="54"/>
      <c r="C832" s="54"/>
      <c r="D832" s="56"/>
      <c r="E832" s="57">
        <f>SUM(E834:E835)</f>
        <v>105</v>
      </c>
      <c r="F832" s="98"/>
      <c r="G832" s="98"/>
      <c r="H832" s="426"/>
      <c r="I832" s="98"/>
      <c r="J832" s="98"/>
      <c r="K832" s="98"/>
      <c r="L832" s="98"/>
      <c r="M832" s="98"/>
      <c r="N832" s="98"/>
      <c r="O832" s="98"/>
    </row>
    <row r="833" spans="1:18" ht="15" customHeight="1">
      <c r="A833" s="340" t="s">
        <v>5</v>
      </c>
      <c r="B833" s="340"/>
      <c r="C833" s="70" t="s">
        <v>17</v>
      </c>
      <c r="D833" s="212" t="s">
        <v>18</v>
      </c>
      <c r="E833" s="39" t="s">
        <v>69</v>
      </c>
      <c r="F833" s="98"/>
      <c r="G833" s="93" t="str">
        <f>CONCATENATE("U/S Tyres and Tubes , Lying at ",C834,". Quantity in No - ")</f>
        <v>U/S Tyres and Tubes , Lying at CS Patiala. Quantity in No - </v>
      </c>
      <c r="H833" s="427" t="str">
        <f ca="1">CONCATENATE(G833,G834,(INDIRECT(I834)),(INDIRECT(J834)),(INDIRECT(K834)),(INDIRECT(L834)),(INDIRECT(M834)),(INDIRECT(N834)),(INDIRECT(O834)),(INDIRECT(P834)),(INDIRECT(Q834)),(INDIRECT(R834)),".")</f>
        <v>U/S Tyres and Tubes , Lying at CS Patiala. Quantity in No - U/S Tyres - 60, U/S Tubes - 45, .</v>
      </c>
      <c r="I833" s="98" t="str">
        <f aca="true" ca="1" t="array" ref="I833">CELL("address",INDEX(G833:G851,MATCH(TRUE,ISBLANK(G833:G851),0)))</f>
        <v>$G$836</v>
      </c>
      <c r="J833" s="98">
        <f aca="true" t="array" ref="J833">MATCH(TRUE,ISBLANK(G833:G851),0)</f>
        <v>4</v>
      </c>
      <c r="K833" s="98">
        <f>J833-3</f>
        <v>1</v>
      </c>
      <c r="L833" s="98"/>
      <c r="M833" s="98"/>
      <c r="N833" s="98"/>
      <c r="O833" s="98"/>
      <c r="P833" s="98"/>
      <c r="Q833" s="98"/>
      <c r="R833" s="98"/>
    </row>
    <row r="834" spans="1:18" ht="15" customHeight="1">
      <c r="A834" s="329" t="s">
        <v>208</v>
      </c>
      <c r="B834" s="329"/>
      <c r="C834" s="327" t="s">
        <v>52</v>
      </c>
      <c r="D834" s="40" t="s">
        <v>376</v>
      </c>
      <c r="E834" s="243">
        <v>60</v>
      </c>
      <c r="F834" s="98"/>
      <c r="G834" s="92" t="str">
        <f>CONCATENATE(D834," - ",E834,", ")</f>
        <v>U/S Tyres - 60, </v>
      </c>
      <c r="H834" s="427"/>
      <c r="I834" s="98" t="str">
        <f ca="1">IF(J833&gt;=3,(MID(I833,2,1)&amp;MID(I833,4,3)-K833),CELL("address",Z834))</f>
        <v>G835</v>
      </c>
      <c r="J834" s="98" t="str">
        <f ca="1">IF(J833&gt;=4,(MID(I834,1,1)&amp;MID(I834,2,3)+1),CELL("address",AA834))</f>
        <v>G836</v>
      </c>
      <c r="K834" s="98" t="str">
        <f ca="1">IF(J833&gt;=5,(MID(J834,1,1)&amp;MID(J834,2,3)+1),CELL("address",AB834))</f>
        <v>$AB$834</v>
      </c>
      <c r="L834" s="98" t="str">
        <f ca="1">IF(J833&gt;=6,(MID(K834,1,1)&amp;MID(K834,2,3)+1),CELL("address",AC834))</f>
        <v>$AC$834</v>
      </c>
      <c r="M834" s="98" t="str">
        <f ca="1">IF(J833&gt;=7,(MID(L834,1,1)&amp;MID(L834,2,3)+1),CELL("address",AD834))</f>
        <v>$AD$834</v>
      </c>
      <c r="N834" s="98" t="str">
        <f ca="1">IF(J833&gt;=8,(MID(M834,1,1)&amp;MID(M834,2,3)+1),CELL("address",AE834))</f>
        <v>$AE$834</v>
      </c>
      <c r="O834" s="98" t="str">
        <f ca="1">IF(J833&gt;=9,(MID(N834,1,1)&amp;MID(N834,2,3)+1),CELL("address",AF834))</f>
        <v>$AF$834</v>
      </c>
      <c r="P834" s="98" t="str">
        <f ca="1">IF(J833&gt;=10,(MID(O834,1,1)&amp;MID(O834,2,3)+1),CELL("address",AG834))</f>
        <v>$AG$834</v>
      </c>
      <c r="Q834" s="98" t="str">
        <f ca="1">IF(J833&gt;=11,(MID(P834,1,1)&amp;MID(P834,2,3)+1),CELL("address",AH834))</f>
        <v>$AH$834</v>
      </c>
      <c r="R834" s="98" t="str">
        <f ca="1">IF(J833&gt;=12,(MID(Q834,1,1)&amp;MID(Q834,2,3)+1),CELL("address",AI834))</f>
        <v>$AI$834</v>
      </c>
    </row>
    <row r="835" spans="1:15" ht="15" customHeight="1">
      <c r="A835" s="329"/>
      <c r="B835" s="329"/>
      <c r="C835" s="327"/>
      <c r="D835" s="40" t="s">
        <v>377</v>
      </c>
      <c r="E835" s="243">
        <v>45</v>
      </c>
      <c r="F835" s="98"/>
      <c r="G835" s="92" t="str">
        <f>CONCATENATE(D835," - ",E835,", ")</f>
        <v>U/S Tubes - 45, </v>
      </c>
      <c r="H835" s="426"/>
      <c r="I835" s="98"/>
      <c r="J835" s="98"/>
      <c r="K835" s="98"/>
      <c r="L835" s="98"/>
      <c r="M835" s="98"/>
      <c r="N835" s="98"/>
      <c r="O835" s="98"/>
    </row>
    <row r="836" spans="1:15" ht="15" customHeight="1">
      <c r="A836" s="325"/>
      <c r="B836" s="326"/>
      <c r="C836" s="229"/>
      <c r="D836" s="231"/>
      <c r="E836" s="179"/>
      <c r="F836" s="98"/>
      <c r="G836" s="98"/>
      <c r="H836" s="426"/>
      <c r="I836" s="98"/>
      <c r="J836" s="98"/>
      <c r="K836" s="98"/>
      <c r="L836" s="98"/>
      <c r="M836" s="98"/>
      <c r="N836" s="98"/>
      <c r="O836" s="98"/>
    </row>
    <row r="837" spans="1:15" ht="15" customHeight="1">
      <c r="A837" s="335"/>
      <c r="B837" s="336"/>
      <c r="C837" s="40"/>
      <c r="D837" s="228"/>
      <c r="E837" s="57">
        <f>SUM(E839:E843)</f>
        <v>5.920000000000001</v>
      </c>
      <c r="F837" s="197"/>
      <c r="G837" s="98"/>
      <c r="H837" s="426"/>
      <c r="I837" s="98"/>
      <c r="J837" s="98"/>
      <c r="K837" s="98"/>
      <c r="L837" s="98"/>
      <c r="M837" s="98"/>
      <c r="N837" s="98"/>
      <c r="O837" s="98"/>
    </row>
    <row r="838" spans="1:18" ht="15" customHeight="1">
      <c r="A838" s="340" t="s">
        <v>5</v>
      </c>
      <c r="B838" s="340"/>
      <c r="C838" s="70" t="s">
        <v>17</v>
      </c>
      <c r="D838" s="212" t="s">
        <v>18</v>
      </c>
      <c r="E838" s="39" t="s">
        <v>7</v>
      </c>
      <c r="F838" s="98"/>
      <c r="G838" s="93" t="str">
        <f>CONCATENATE("Misc. Iron Scrap, Lying at ",C839,". Quantity in MT - ")</f>
        <v>Misc. Iron Scrap, Lying at CS Sangrur. Quantity in MT - </v>
      </c>
      <c r="H838" s="427" t="str">
        <f ca="1">CONCATENATE(G838,G839,(INDIRECT(I839)),(INDIRECT(J839)),(INDIRECT(K839)),(INDIRECT(L839)),(INDIRECT(M839)),(INDIRECT(N839)),(INDIRECT(O839)),(INDIRECT(P839)),(INDIRECT(Q839)),(INDIRECT(R839)),".")</f>
        <v>Misc. Iron Scrap, Lying at CS Sangrur. Quantity in MT - Tubular Poles - 0.155, MS iron scrap - 3.992, MS Rail scrap - 0.33, Transformer body scrap - 1.429, G.I. Scrap - 0.014, .</v>
      </c>
      <c r="I838" s="98" t="str">
        <f aca="true" ca="1" t="array" ref="I838">CELL("address",INDEX(G838:G856,MATCH(TRUE,ISBLANK(G838:G856),0)))</f>
        <v>$G$844</v>
      </c>
      <c r="J838" s="98">
        <f aca="true" t="array" ref="J838">MATCH(TRUE,ISBLANK(G838:G856),0)</f>
        <v>7</v>
      </c>
      <c r="K838" s="98">
        <f>J838-3</f>
        <v>4</v>
      </c>
      <c r="L838" s="98"/>
      <c r="M838" s="98"/>
      <c r="N838" s="98"/>
      <c r="O838" s="98"/>
      <c r="P838" s="98"/>
      <c r="Q838" s="98"/>
      <c r="R838" s="98"/>
    </row>
    <row r="839" spans="1:18" ht="15" customHeight="1">
      <c r="A839" s="329" t="s">
        <v>176</v>
      </c>
      <c r="B839" s="329"/>
      <c r="C839" s="327" t="s">
        <v>79</v>
      </c>
      <c r="D839" s="42" t="s">
        <v>382</v>
      </c>
      <c r="E839" s="69">
        <v>0.155</v>
      </c>
      <c r="F839" s="98"/>
      <c r="G839" s="92" t="str">
        <f>CONCATENATE(D839," - ",E839,", ")</f>
        <v>Tubular Poles - 0.155, </v>
      </c>
      <c r="H839" s="427"/>
      <c r="I839" s="98" t="str">
        <f ca="1">IF(J838&gt;=3,(MID(I838,2,1)&amp;MID(I838,4,3)-K838),CELL("address",Z839))</f>
        <v>G840</v>
      </c>
      <c r="J839" s="98" t="str">
        <f ca="1">IF(J838&gt;=4,(MID(I839,1,1)&amp;MID(I839,2,3)+1),CELL("address",AA839))</f>
        <v>G841</v>
      </c>
      <c r="K839" s="98" t="str">
        <f ca="1">IF(J838&gt;=5,(MID(J839,1,1)&amp;MID(J839,2,3)+1),CELL("address",AB839))</f>
        <v>G842</v>
      </c>
      <c r="L839" s="98" t="str">
        <f ca="1">IF(J838&gt;=6,(MID(K839,1,1)&amp;MID(K839,2,3)+1),CELL("address",AC839))</f>
        <v>G843</v>
      </c>
      <c r="M839" s="98" t="str">
        <f ca="1">IF(J838&gt;=7,(MID(L839,1,1)&amp;MID(L839,2,3)+1),CELL("address",AD839))</f>
        <v>G844</v>
      </c>
      <c r="N839" s="98" t="str">
        <f ca="1">IF(J838&gt;=8,(MID(M839,1,1)&amp;MID(M839,2,3)+1),CELL("address",AE839))</f>
        <v>$AE$839</v>
      </c>
      <c r="O839" s="98" t="str">
        <f ca="1">IF(J838&gt;=9,(MID(N839,1,1)&amp;MID(N839,2,3)+1),CELL("address",AF839))</f>
        <v>$AF$839</v>
      </c>
      <c r="P839" s="98" t="str">
        <f ca="1">IF(J838&gt;=10,(MID(O839,1,1)&amp;MID(O839,2,3)+1),CELL("address",AG839))</f>
        <v>$AG$839</v>
      </c>
      <c r="Q839" s="98" t="str">
        <f ca="1">IF(J838&gt;=11,(MID(P839,1,1)&amp;MID(P839,2,3)+1),CELL("address",AH839))</f>
        <v>$AH$839</v>
      </c>
      <c r="R839" s="98" t="str">
        <f ca="1">IF(J838&gt;=12,(MID(Q839,1,1)&amp;MID(Q839,2,3)+1),CELL("address",AI839))</f>
        <v>$AI$839</v>
      </c>
    </row>
    <row r="840" spans="1:15" ht="15" customHeight="1">
      <c r="A840" s="329"/>
      <c r="B840" s="329"/>
      <c r="C840" s="327"/>
      <c r="D840" s="283" t="s">
        <v>29</v>
      </c>
      <c r="E840" s="179">
        <v>3.992</v>
      </c>
      <c r="F840" s="98">
        <v>3.163</v>
      </c>
      <c r="G840" s="92" t="str">
        <f>CONCATENATE(D840," - ",E840,", ")</f>
        <v>MS iron scrap - 3.992, </v>
      </c>
      <c r="H840" s="426"/>
      <c r="I840" s="98"/>
      <c r="J840" s="98"/>
      <c r="K840" s="98"/>
      <c r="L840" s="98"/>
      <c r="M840" s="98"/>
      <c r="N840" s="98"/>
      <c r="O840" s="98"/>
    </row>
    <row r="841" spans="1:15" ht="15" customHeight="1">
      <c r="A841" s="329"/>
      <c r="B841" s="329"/>
      <c r="C841" s="327"/>
      <c r="D841" s="42" t="s">
        <v>61</v>
      </c>
      <c r="E841" s="58">
        <v>0.33</v>
      </c>
      <c r="F841" s="98"/>
      <c r="G841" s="92" t="str">
        <f>CONCATENATE(D841," - ",E841,", ")</f>
        <v>MS Rail scrap - 0.33, </v>
      </c>
      <c r="H841" s="426"/>
      <c r="I841" s="98" t="e">
        <f ca="1">IF(G840&gt;=6,(MID(H841,1,1)&amp;MID(H841,2,3)+1),CELL("address",Z841))</f>
        <v>#VALUE!</v>
      </c>
      <c r="J841" s="98" t="e">
        <f ca="1">IF(G840&gt;=7,(MID(I841,1,1)&amp;MID(I841,2,3)+1),CELL("address",AA841))</f>
        <v>#VALUE!</v>
      </c>
      <c r="K841" s="98" t="e">
        <f ca="1">IF(G840&gt;=8,(MID(J841,1,1)&amp;MID(J841,2,3)+1),CELL("address",AB841))</f>
        <v>#VALUE!</v>
      </c>
      <c r="L841" s="98" t="e">
        <f ca="1">IF(G840&gt;=9,(MID(K841,1,1)&amp;MID(K841,2,3)+1),CELL("address",AC841))</f>
        <v>#VALUE!</v>
      </c>
      <c r="M841" s="98" t="e">
        <f ca="1">IF(G840&gt;=10,(MID(L841,1,1)&amp;MID(L841,2,3)+1),CELL("address",AD841))</f>
        <v>#VALUE!</v>
      </c>
      <c r="N841" s="98" t="e">
        <f ca="1">IF(G840&gt;=11,(MID(M841,1,1)&amp;MID(M841,2,3)+1),CELL("address",AE841))</f>
        <v>#VALUE!</v>
      </c>
      <c r="O841" s="98" t="e">
        <f ca="1">IF(G840&gt;=12,(MID(N841,1,1)&amp;MID(N841,2,3)+1),CELL("address",AF841))</f>
        <v>#VALUE!</v>
      </c>
    </row>
    <row r="842" spans="1:15" ht="15" customHeight="1">
      <c r="A842" s="329"/>
      <c r="B842" s="329"/>
      <c r="C842" s="327"/>
      <c r="D842" s="281" t="s">
        <v>60</v>
      </c>
      <c r="E842" s="179">
        <v>1.429</v>
      </c>
      <c r="F842" s="98">
        <v>0.855</v>
      </c>
      <c r="G842" s="92" t="str">
        <f>CONCATENATE(D842," - ",E842,", ")</f>
        <v>Transformer body scrap - 1.429, </v>
      </c>
      <c r="H842" s="426"/>
      <c r="I842" s="98"/>
      <c r="J842" s="98"/>
      <c r="K842" s="98"/>
      <c r="L842" s="98"/>
      <c r="M842" s="98"/>
      <c r="N842" s="98"/>
      <c r="O842" s="98"/>
    </row>
    <row r="843" spans="1:15" ht="15" customHeight="1">
      <c r="A843" s="329"/>
      <c r="B843" s="329"/>
      <c r="C843" s="327"/>
      <c r="D843" s="281" t="s">
        <v>198</v>
      </c>
      <c r="E843" s="179">
        <v>0.014</v>
      </c>
      <c r="F843" s="98">
        <v>0.011</v>
      </c>
      <c r="G843" s="92" t="str">
        <f>CONCATENATE(D843," - ",E843,", ")</f>
        <v>G.I. Scrap - 0.014, </v>
      </c>
      <c r="H843" s="426"/>
      <c r="I843" s="98"/>
      <c r="J843" s="98"/>
      <c r="K843" s="98"/>
      <c r="L843" s="98"/>
      <c r="M843" s="98"/>
      <c r="N843" s="98"/>
      <c r="O843" s="98"/>
    </row>
    <row r="844" spans="1:15" ht="15" customHeight="1">
      <c r="A844" s="39"/>
      <c r="B844" s="41"/>
      <c r="C844" s="48"/>
      <c r="D844" s="224"/>
      <c r="E844" s="179"/>
      <c r="F844" s="98"/>
      <c r="G844" s="98"/>
      <c r="H844" s="426"/>
      <c r="I844" s="98"/>
      <c r="J844" s="98"/>
      <c r="K844" s="98"/>
      <c r="L844" s="98"/>
      <c r="M844" s="98"/>
      <c r="N844" s="98"/>
      <c r="O844" s="98"/>
    </row>
    <row r="845" spans="1:15" ht="15" customHeight="1">
      <c r="A845" s="53"/>
      <c r="B845" s="54"/>
      <c r="C845" s="54"/>
      <c r="D845" s="56"/>
      <c r="E845" s="57">
        <f>SUM(E847:E849)</f>
        <v>3.731</v>
      </c>
      <c r="F845" s="98"/>
      <c r="G845" s="98"/>
      <c r="H845" s="426"/>
      <c r="I845" s="98"/>
      <c r="J845" s="98"/>
      <c r="K845" s="98"/>
      <c r="L845" s="98"/>
      <c r="M845" s="98"/>
      <c r="N845" s="98"/>
      <c r="O845" s="98"/>
    </row>
    <row r="846" spans="1:18" ht="15" customHeight="1">
      <c r="A846" s="340" t="s">
        <v>5</v>
      </c>
      <c r="B846" s="340"/>
      <c r="C846" s="70" t="s">
        <v>17</v>
      </c>
      <c r="D846" s="212" t="s">
        <v>18</v>
      </c>
      <c r="E846" s="39" t="s">
        <v>7</v>
      </c>
      <c r="F846" s="98"/>
      <c r="G846" s="93" t="str">
        <f>CONCATENATE("Misc. Iron Scrap, Lying at ",C847,". Quantity in MT - ")</f>
        <v>Misc. Iron Scrap, Lying at OL Barnala. Quantity in MT - </v>
      </c>
      <c r="H846" s="427" t="str">
        <f ca="1">CONCATENATE(G846,G847,(INDIRECT(I847)),(INDIRECT(J847)),(INDIRECT(K847)),(INDIRECT(L847)),(INDIRECT(M847)),(INDIRECT(N847)),(INDIRECT(O847)),(INDIRECT(P847)),(INDIRECT(Q847)),(INDIRECT(R847)),".")</f>
        <v>Misc. Iron Scrap, Lying at OL Barnala. Quantity in MT - Tubular Poles - 0.282, MS iron scrap - 2.862, Transformer body scrap - 0.587, .</v>
      </c>
      <c r="I846" s="98" t="str">
        <f aca="true" ca="1" t="array" ref="I846">CELL("address",INDEX(G846:G864,MATCH(TRUE,ISBLANK(G846:G864),0)))</f>
        <v>$G$850</v>
      </c>
      <c r="J846" s="98">
        <f aca="true" t="array" ref="J846">MATCH(TRUE,ISBLANK(G846:G864),0)</f>
        <v>5</v>
      </c>
      <c r="K846" s="98">
        <f>J846-3</f>
        <v>2</v>
      </c>
      <c r="L846" s="98"/>
      <c r="M846" s="98"/>
      <c r="N846" s="98"/>
      <c r="O846" s="98"/>
      <c r="P846" s="98"/>
      <c r="Q846" s="98"/>
      <c r="R846" s="98"/>
    </row>
    <row r="847" spans="1:18" ht="15" customHeight="1">
      <c r="A847" s="329" t="s">
        <v>177</v>
      </c>
      <c r="B847" s="329"/>
      <c r="C847" s="327" t="s">
        <v>190</v>
      </c>
      <c r="D847" s="42" t="s">
        <v>382</v>
      </c>
      <c r="E847" s="69">
        <v>0.282</v>
      </c>
      <c r="F847" s="98"/>
      <c r="G847" s="92" t="str">
        <f>CONCATENATE(D847," - ",E847,", ")</f>
        <v>Tubular Poles - 0.282, </v>
      </c>
      <c r="H847" s="427"/>
      <c r="I847" s="98" t="str">
        <f ca="1">IF(J846&gt;=3,(MID(I846,2,1)&amp;MID(I846,4,3)-K846),CELL("address",Z847))</f>
        <v>G848</v>
      </c>
      <c r="J847" s="98" t="str">
        <f ca="1">IF(J846&gt;=4,(MID(I847,1,1)&amp;MID(I847,2,3)+1),CELL("address",AA847))</f>
        <v>G849</v>
      </c>
      <c r="K847" s="98" t="str">
        <f ca="1">IF(J846&gt;=5,(MID(J847,1,1)&amp;MID(J847,2,3)+1),CELL("address",AB847))</f>
        <v>G850</v>
      </c>
      <c r="L847" s="98" t="str">
        <f ca="1">IF(J846&gt;=6,(MID(K847,1,1)&amp;MID(K847,2,3)+1),CELL("address",AC847))</f>
        <v>$AC$847</v>
      </c>
      <c r="M847" s="98" t="str">
        <f ca="1">IF(J846&gt;=7,(MID(L847,1,1)&amp;MID(L847,2,3)+1),CELL("address",AD847))</f>
        <v>$AD$847</v>
      </c>
      <c r="N847" s="98" t="str">
        <f ca="1">IF(J846&gt;=8,(MID(M847,1,1)&amp;MID(M847,2,3)+1),CELL("address",AE847))</f>
        <v>$AE$847</v>
      </c>
      <c r="O847" s="98" t="str">
        <f ca="1">IF(J846&gt;=9,(MID(N847,1,1)&amp;MID(N847,2,3)+1),CELL("address",AF847))</f>
        <v>$AF$847</v>
      </c>
      <c r="P847" s="98" t="str">
        <f ca="1">IF(J846&gt;=10,(MID(O847,1,1)&amp;MID(O847,2,3)+1),CELL("address",AG847))</f>
        <v>$AG$847</v>
      </c>
      <c r="Q847" s="98" t="str">
        <f ca="1">IF(J846&gt;=11,(MID(P847,1,1)&amp;MID(P847,2,3)+1),CELL("address",AH847))</f>
        <v>$AH$847</v>
      </c>
      <c r="R847" s="98" t="str">
        <f ca="1">IF(J846&gt;=12,(MID(Q847,1,1)&amp;MID(Q847,2,3)+1),CELL("address",AI847))</f>
        <v>$AI$847</v>
      </c>
    </row>
    <row r="848" spans="1:15" ht="15" customHeight="1">
      <c r="A848" s="329"/>
      <c r="B848" s="329"/>
      <c r="C848" s="327"/>
      <c r="D848" s="283" t="s">
        <v>29</v>
      </c>
      <c r="E848" s="179">
        <v>2.862</v>
      </c>
      <c r="F848" s="98">
        <v>2.368</v>
      </c>
      <c r="G848" s="92" t="str">
        <f>CONCATENATE(D848," - ",E848,", ")</f>
        <v>MS iron scrap - 2.862, </v>
      </c>
      <c r="H848" s="426"/>
      <c r="I848" s="98"/>
      <c r="J848" s="98"/>
      <c r="K848" s="98"/>
      <c r="L848" s="98"/>
      <c r="M848" s="98"/>
      <c r="N848" s="98"/>
      <c r="O848" s="98"/>
    </row>
    <row r="849" spans="1:15" ht="15" customHeight="1">
      <c r="A849" s="329"/>
      <c r="B849" s="329"/>
      <c r="C849" s="327"/>
      <c r="D849" s="281" t="s">
        <v>60</v>
      </c>
      <c r="E849" s="179">
        <v>0.587</v>
      </c>
      <c r="F849" s="98">
        <v>0.535</v>
      </c>
      <c r="G849" s="92" t="str">
        <f>CONCATENATE(D849," - ",E849,", ")</f>
        <v>Transformer body scrap - 0.587, </v>
      </c>
      <c r="H849" s="426"/>
      <c r="I849" s="98"/>
      <c r="J849" s="98"/>
      <c r="K849" s="98"/>
      <c r="L849" s="98"/>
      <c r="M849" s="98"/>
      <c r="N849" s="98"/>
      <c r="O849" s="98"/>
    </row>
    <row r="850" spans="1:15" ht="15" customHeight="1">
      <c r="A850" s="39"/>
      <c r="B850" s="41"/>
      <c r="C850" s="48"/>
      <c r="D850" s="224"/>
      <c r="E850" s="179"/>
      <c r="F850" s="98"/>
      <c r="G850" s="98"/>
      <c r="H850" s="426"/>
      <c r="I850" s="98"/>
      <c r="J850" s="98"/>
      <c r="K850" s="98"/>
      <c r="L850" s="98"/>
      <c r="M850" s="98"/>
      <c r="N850" s="98"/>
      <c r="O850" s="98"/>
    </row>
    <row r="851" spans="1:15" ht="15" customHeight="1">
      <c r="A851" s="53"/>
      <c r="B851" s="54"/>
      <c r="C851" s="54"/>
      <c r="D851" s="56"/>
      <c r="E851" s="57">
        <f>SUM(E853:E857)</f>
        <v>5.339</v>
      </c>
      <c r="F851" s="98"/>
      <c r="G851" s="98"/>
      <c r="H851" s="426"/>
      <c r="I851" s="98"/>
      <c r="J851" s="98"/>
      <c r="K851" s="98"/>
      <c r="L851" s="98"/>
      <c r="M851" s="98"/>
      <c r="N851" s="98"/>
      <c r="O851" s="98"/>
    </row>
    <row r="852" spans="1:18" ht="15" customHeight="1">
      <c r="A852" s="340" t="s">
        <v>5</v>
      </c>
      <c r="B852" s="340"/>
      <c r="C852" s="70" t="s">
        <v>17</v>
      </c>
      <c r="D852" s="212" t="s">
        <v>18</v>
      </c>
      <c r="E852" s="39" t="s">
        <v>7</v>
      </c>
      <c r="F852" s="98"/>
      <c r="G852" s="93" t="str">
        <f>CONCATENATE("Misc. Iron Scrap, Lying at ",C853,". Quantity in MT - ")</f>
        <v>Misc. Iron Scrap, Lying at CS Mohali. Quantity in MT - </v>
      </c>
      <c r="H852" s="427" t="str">
        <f ca="1">CONCATENATE(G852,G853,(INDIRECT(I853)),(INDIRECT(J853)),(INDIRECT(K853)),(INDIRECT(L853)),(INDIRECT(M853)),(INDIRECT(N853)),(INDIRECT(O853)),(INDIRECT(P853)),(INDIRECT(Q853)),(INDIRECT(R853)),".")</f>
        <v>Misc. Iron Scrap, Lying at CS Mohali. Quantity in MT - Piller box scrap - 0.095, MS iron scrap - 3.052, MS Rail scrap - 0.18, Transformer body scrap - 1.852, G.I. Scrap - 0.16, .</v>
      </c>
      <c r="I852" s="98" t="str">
        <f aca="true" ca="1" t="array" ref="I852">CELL("address",INDEX(G852:G870,MATCH(TRUE,ISBLANK(G852:G870),0)))</f>
        <v>$G$858</v>
      </c>
      <c r="J852" s="98">
        <f aca="true" t="array" ref="J852">MATCH(TRUE,ISBLANK(G852:G870),0)</f>
        <v>7</v>
      </c>
      <c r="K852" s="98">
        <f>J852-3</f>
        <v>4</v>
      </c>
      <c r="L852" s="98"/>
      <c r="M852" s="98"/>
      <c r="N852" s="98"/>
      <c r="O852" s="98"/>
      <c r="P852" s="98"/>
      <c r="Q852" s="98"/>
      <c r="R852" s="98"/>
    </row>
    <row r="853" spans="1:18" ht="15" customHeight="1">
      <c r="A853" s="328" t="s">
        <v>318</v>
      </c>
      <c r="B853" s="328"/>
      <c r="C853" s="327" t="s">
        <v>62</v>
      </c>
      <c r="D853" s="42" t="s">
        <v>387</v>
      </c>
      <c r="E853" s="69">
        <v>0.095</v>
      </c>
      <c r="F853" s="98"/>
      <c r="G853" s="92" t="str">
        <f>CONCATENATE(D853," - ",E853,", ")</f>
        <v>Piller box scrap - 0.095, </v>
      </c>
      <c r="H853" s="427"/>
      <c r="I853" s="98" t="str">
        <f ca="1">IF(J852&gt;=3,(MID(I852,2,1)&amp;MID(I852,4,3)-K852),CELL("address",Z853))</f>
        <v>G854</v>
      </c>
      <c r="J853" s="98" t="str">
        <f ca="1">IF(J852&gt;=4,(MID(I853,1,1)&amp;MID(I853,2,3)+1),CELL("address",AA853))</f>
        <v>G855</v>
      </c>
      <c r="K853" s="98" t="str">
        <f ca="1">IF(J852&gt;=5,(MID(J853,1,1)&amp;MID(J853,2,3)+1),CELL("address",AB853))</f>
        <v>G856</v>
      </c>
      <c r="L853" s="98" t="str">
        <f ca="1">IF(J852&gt;=6,(MID(K853,1,1)&amp;MID(K853,2,3)+1),CELL("address",AC853))</f>
        <v>G857</v>
      </c>
      <c r="M853" s="98" t="str">
        <f ca="1">IF(J852&gt;=7,(MID(L853,1,1)&amp;MID(L853,2,3)+1),CELL("address",AD853))</f>
        <v>G858</v>
      </c>
      <c r="N853" s="98" t="str">
        <f ca="1">IF(J852&gt;=8,(MID(M853,1,1)&amp;MID(M853,2,3)+1),CELL("address",AE853))</f>
        <v>$AE$853</v>
      </c>
      <c r="O853" s="98" t="str">
        <f ca="1">IF(J852&gt;=9,(MID(N853,1,1)&amp;MID(N853,2,3)+1),CELL("address",AF853))</f>
        <v>$AF$853</v>
      </c>
      <c r="P853" s="98" t="str">
        <f ca="1">IF(J852&gt;=10,(MID(O853,1,1)&amp;MID(O853,2,3)+1),CELL("address",AG853))</f>
        <v>$AG$853</v>
      </c>
      <c r="Q853" s="98" t="str">
        <f ca="1">IF(J852&gt;=11,(MID(P853,1,1)&amp;MID(P853,2,3)+1),CELL("address",AH853))</f>
        <v>$AH$853</v>
      </c>
      <c r="R853" s="98" t="str">
        <f ca="1">IF(J852&gt;=12,(MID(Q853,1,1)&amp;MID(Q853,2,3)+1),CELL("address",AI853))</f>
        <v>$AI$853</v>
      </c>
    </row>
    <row r="854" spans="1:15" ht="15" customHeight="1">
      <c r="A854" s="328"/>
      <c r="B854" s="328"/>
      <c r="C854" s="327"/>
      <c r="D854" s="316" t="s">
        <v>29</v>
      </c>
      <c r="E854" s="318">
        <v>3.052</v>
      </c>
      <c r="F854" s="196">
        <v>2.002</v>
      </c>
      <c r="G854" s="92" t="str">
        <f>CONCATENATE(D854," - ",E854,", ")</f>
        <v>MS iron scrap - 3.052, </v>
      </c>
      <c r="H854" s="426"/>
      <c r="I854" s="98"/>
      <c r="J854" s="98"/>
      <c r="K854" s="98"/>
      <c r="L854" s="98"/>
      <c r="M854" s="98"/>
      <c r="N854" s="98"/>
      <c r="O854" s="98"/>
    </row>
    <row r="855" spans="1:15" ht="15" customHeight="1">
      <c r="A855" s="328"/>
      <c r="B855" s="328"/>
      <c r="C855" s="327"/>
      <c r="D855" s="42" t="s">
        <v>61</v>
      </c>
      <c r="E855" s="58">
        <v>0.18</v>
      </c>
      <c r="F855" s="196"/>
      <c r="G855" s="92" t="str">
        <f>CONCATENATE(D855," - ",E855,", ")</f>
        <v>MS Rail scrap - 0.18, </v>
      </c>
      <c r="H855" s="426"/>
      <c r="I855" s="98" t="e">
        <f ca="1">IF(G854&gt;=6,(MID(H855,1,1)&amp;MID(H855,2,3)+1),CELL("address",Z855))</f>
        <v>#VALUE!</v>
      </c>
      <c r="J855" s="98" t="e">
        <f ca="1">IF(G854&gt;=7,(MID(I855,1,1)&amp;MID(I855,2,3)+1),CELL("address",AA855))</f>
        <v>#VALUE!</v>
      </c>
      <c r="K855" s="98" t="e">
        <f ca="1">IF(G854&gt;=8,(MID(J855,1,1)&amp;MID(J855,2,3)+1),CELL("address",AB855))</f>
        <v>#VALUE!</v>
      </c>
      <c r="L855" s="98" t="e">
        <f ca="1">IF(G854&gt;=9,(MID(K855,1,1)&amp;MID(K855,2,3)+1),CELL("address",AC855))</f>
        <v>#VALUE!</v>
      </c>
      <c r="M855" s="98" t="e">
        <f ca="1">IF(G854&gt;=10,(MID(L855,1,1)&amp;MID(L855,2,3)+1),CELL("address",AD855))</f>
        <v>#VALUE!</v>
      </c>
      <c r="N855" s="98" t="e">
        <f ca="1">IF(G854&gt;=11,(MID(M855,1,1)&amp;MID(M855,2,3)+1),CELL("address",AE855))</f>
        <v>#VALUE!</v>
      </c>
      <c r="O855" s="98" t="e">
        <f ca="1">IF(G854&gt;=12,(MID(N855,1,1)&amp;MID(N855,2,3)+1),CELL("address",AF855))</f>
        <v>#VALUE!</v>
      </c>
    </row>
    <row r="856" spans="1:15" ht="15" customHeight="1">
      <c r="A856" s="328"/>
      <c r="B856" s="328"/>
      <c r="C856" s="327"/>
      <c r="D856" s="281" t="s">
        <v>60</v>
      </c>
      <c r="E856" s="318">
        <v>1.852</v>
      </c>
      <c r="F856" s="196">
        <v>0.113</v>
      </c>
      <c r="G856" s="92" t="str">
        <f>CONCATENATE(D856," - ",E856,", ")</f>
        <v>Transformer body scrap - 1.852, </v>
      </c>
      <c r="H856" s="426"/>
      <c r="I856" s="98"/>
      <c r="J856" s="98"/>
      <c r="K856" s="98"/>
      <c r="L856" s="98"/>
      <c r="M856" s="98"/>
      <c r="N856" s="98"/>
      <c r="O856" s="98"/>
    </row>
    <row r="857" spans="1:15" ht="15" customHeight="1">
      <c r="A857" s="328"/>
      <c r="B857" s="328"/>
      <c r="C857" s="327"/>
      <c r="D857" s="281" t="s">
        <v>198</v>
      </c>
      <c r="E857" s="318">
        <v>0.16</v>
      </c>
      <c r="F857" s="196">
        <v>0.1</v>
      </c>
      <c r="G857" s="92" t="str">
        <f>CONCATENATE(D857," - ",E857,", ")</f>
        <v>G.I. Scrap - 0.16, </v>
      </c>
      <c r="H857" s="426"/>
      <c r="I857" s="98"/>
      <c r="J857" s="98"/>
      <c r="K857" s="98"/>
      <c r="L857" s="98"/>
      <c r="M857" s="98"/>
      <c r="N857" s="98"/>
      <c r="O857" s="98"/>
    </row>
    <row r="858" spans="1:15" ht="15" customHeight="1">
      <c r="A858" s="39"/>
      <c r="B858" s="41"/>
      <c r="C858" s="48"/>
      <c r="D858" s="41"/>
      <c r="E858" s="58"/>
      <c r="F858" s="98"/>
      <c r="G858" s="98"/>
      <c r="H858" s="426"/>
      <c r="I858" s="98"/>
      <c r="J858" s="98"/>
      <c r="K858" s="98"/>
      <c r="L858" s="98"/>
      <c r="M858" s="98"/>
      <c r="N858" s="98"/>
      <c r="O858" s="98"/>
    </row>
    <row r="859" spans="1:15" ht="15" customHeight="1">
      <c r="A859" s="53"/>
      <c r="B859" s="54"/>
      <c r="C859" s="54"/>
      <c r="D859" s="56"/>
      <c r="E859" s="57">
        <f>SUM(E861:E870)</f>
        <v>15.242000000000003</v>
      </c>
      <c r="F859" s="98"/>
      <c r="G859" s="98"/>
      <c r="H859" s="426"/>
      <c r="I859" s="98"/>
      <c r="J859" s="98"/>
      <c r="K859" s="98"/>
      <c r="L859" s="98"/>
      <c r="M859" s="98"/>
      <c r="N859" s="98"/>
      <c r="O859" s="98"/>
    </row>
    <row r="860" spans="1:18" ht="15" customHeight="1">
      <c r="A860" s="340" t="s">
        <v>5</v>
      </c>
      <c r="B860" s="340"/>
      <c r="C860" s="70" t="s">
        <v>17</v>
      </c>
      <c r="D860" s="212" t="s">
        <v>18</v>
      </c>
      <c r="E860" s="39" t="s">
        <v>7</v>
      </c>
      <c r="F860" s="98"/>
      <c r="G860" s="93" t="str">
        <f>CONCATENATE("Misc. Iron Scrap, Lying at ",C861,". Quantity in MT - ")</f>
        <v>Misc. Iron Scrap, Lying at CS Patiala. Quantity in MT - </v>
      </c>
      <c r="H860" s="427" t="str">
        <f ca="1">CONCATENATE(G860,G861,(INDIRECT(I861)),(INDIRECT(J861)),(INDIRECT(K861)),(INDIRECT(L861)),(INDIRECT(M861)),(INDIRECT(N861)),(INDIRECT(O861)),(INDIRECT(P861)),(INDIRECT(Q861)),(INDIRECT(R861)),".")</f>
        <v>Misc. Iron Scrap, Lying at CS Patiala. Quantity in MT - Iron scrap of Bush fixings - 0.93, MS iron scrap - 7.53, MS Rail scrap - 2.717, M.S. Girder Scrap - 0.428, MS Nuts &amp; bolts scrap - 0.345, Cast Iron Scrap - 0.078, Transformer body scrap - 1.879, Teen Patra scrap - 1.09, G.I. scrap - 0.226, G.I. Wire/GSL scrap - 0.019, .</v>
      </c>
      <c r="I860" s="98" t="str">
        <f aca="true" ca="1" t="array" ref="I860">CELL("address",INDEX(G860:G878,MATCH(TRUE,ISBLANK(G860:G878),0)))</f>
        <v>$G$871</v>
      </c>
      <c r="J860" s="98">
        <f aca="true" t="array" ref="J860">MATCH(TRUE,ISBLANK(G860:G878),0)</f>
        <v>12</v>
      </c>
      <c r="K860" s="98">
        <f>J860-3</f>
        <v>9</v>
      </c>
      <c r="L860" s="98"/>
      <c r="M860" s="98"/>
      <c r="N860" s="98"/>
      <c r="O860" s="98"/>
      <c r="P860" s="98"/>
      <c r="Q860" s="98"/>
      <c r="R860" s="98"/>
    </row>
    <row r="861" spans="1:18" ht="15" customHeight="1">
      <c r="A861" s="328" t="s">
        <v>383</v>
      </c>
      <c r="B861" s="328"/>
      <c r="C861" s="327" t="s">
        <v>52</v>
      </c>
      <c r="D861" s="42" t="s">
        <v>388</v>
      </c>
      <c r="E861" s="69">
        <v>0.93</v>
      </c>
      <c r="F861" s="98"/>
      <c r="G861" s="92" t="str">
        <f aca="true" t="shared" si="4" ref="G861:G870">CONCATENATE(D861," - ",E861,", ")</f>
        <v>Iron scrap of Bush fixings - 0.93, </v>
      </c>
      <c r="H861" s="427"/>
      <c r="I861" s="98" t="str">
        <f ca="1">IF(J860&gt;=3,(MID(I860,2,1)&amp;MID(I860,4,3)-K860),CELL("address",Z861))</f>
        <v>G862</v>
      </c>
      <c r="J861" s="98" t="str">
        <f ca="1">IF(J860&gt;=4,(MID(I861,1,1)&amp;MID(I861,2,3)+1),CELL("address",AA861))</f>
        <v>G863</v>
      </c>
      <c r="K861" s="98" t="str">
        <f ca="1">IF(J860&gt;=5,(MID(J861,1,1)&amp;MID(J861,2,3)+1),CELL("address",AB861))</f>
        <v>G864</v>
      </c>
      <c r="L861" s="98" t="str">
        <f ca="1">IF(J860&gt;=6,(MID(K861,1,1)&amp;MID(K861,2,3)+1),CELL("address",AC861))</f>
        <v>G865</v>
      </c>
      <c r="M861" s="98" t="str">
        <f ca="1">IF(J860&gt;=7,(MID(L861,1,1)&amp;MID(L861,2,3)+1),CELL("address",AD861))</f>
        <v>G866</v>
      </c>
      <c r="N861" s="98" t="str">
        <f ca="1">IF(J860&gt;=8,(MID(M861,1,1)&amp;MID(M861,2,3)+1),CELL("address",AE861))</f>
        <v>G867</v>
      </c>
      <c r="O861" s="98" t="str">
        <f ca="1">IF(J860&gt;=9,(MID(N861,1,1)&amp;MID(N861,2,3)+1),CELL("address",AF861))</f>
        <v>G868</v>
      </c>
      <c r="P861" s="98" t="str">
        <f ca="1">IF(J860&gt;=10,(MID(O861,1,1)&amp;MID(O861,2,3)+1),CELL("address",AG861))</f>
        <v>G869</v>
      </c>
      <c r="Q861" s="98" t="str">
        <f ca="1">IF(J860&gt;=11,(MID(P861,1,1)&amp;MID(P861,2,3)+1),CELL("address",AH861))</f>
        <v>G870</v>
      </c>
      <c r="R861" s="98" t="str">
        <f ca="1">IF(J860&gt;=12,(MID(Q861,1,1)&amp;MID(Q861,2,3)+1),CELL("address",AI861))</f>
        <v>G871</v>
      </c>
    </row>
    <row r="862" spans="1:15" ht="15" customHeight="1">
      <c r="A862" s="328"/>
      <c r="B862" s="328"/>
      <c r="C862" s="327"/>
      <c r="D862" s="283" t="s">
        <v>29</v>
      </c>
      <c r="E862" s="179">
        <v>7.53</v>
      </c>
      <c r="F862" s="196">
        <v>3.337</v>
      </c>
      <c r="G862" s="92" t="str">
        <f t="shared" si="4"/>
        <v>MS iron scrap - 7.53, </v>
      </c>
      <c r="H862" s="426"/>
      <c r="I862" s="98"/>
      <c r="J862" s="98"/>
      <c r="K862" s="98"/>
      <c r="L862" s="98"/>
      <c r="M862" s="98"/>
      <c r="N862" s="98"/>
      <c r="O862" s="98"/>
    </row>
    <row r="863" spans="1:15" ht="15" customHeight="1">
      <c r="A863" s="328"/>
      <c r="B863" s="328"/>
      <c r="C863" s="327"/>
      <c r="D863" s="283" t="s">
        <v>61</v>
      </c>
      <c r="E863" s="179">
        <v>2.717</v>
      </c>
      <c r="F863" s="196">
        <v>0.11</v>
      </c>
      <c r="G863" s="92" t="str">
        <f t="shared" si="4"/>
        <v>MS Rail scrap - 2.717, </v>
      </c>
      <c r="H863" s="426"/>
      <c r="I863" s="98"/>
      <c r="J863" s="98"/>
      <c r="K863" s="98"/>
      <c r="L863" s="98"/>
      <c r="M863" s="98"/>
      <c r="N863" s="98"/>
      <c r="O863" s="98"/>
    </row>
    <row r="864" spans="1:15" ht="15" customHeight="1">
      <c r="A864" s="328"/>
      <c r="B864" s="328"/>
      <c r="C864" s="327"/>
      <c r="D864" s="281" t="s">
        <v>526</v>
      </c>
      <c r="E864" s="179">
        <v>0.428</v>
      </c>
      <c r="F864" s="196">
        <v>0.15</v>
      </c>
      <c r="G864" s="92" t="str">
        <f t="shared" si="4"/>
        <v>M.S. Girder Scrap - 0.428, </v>
      </c>
      <c r="H864" s="426"/>
      <c r="I864" s="98"/>
      <c r="J864" s="98"/>
      <c r="K864" s="98"/>
      <c r="L864" s="98"/>
      <c r="M864" s="98"/>
      <c r="N864" s="98"/>
      <c r="O864" s="98"/>
    </row>
    <row r="865" spans="1:15" ht="15" customHeight="1">
      <c r="A865" s="328"/>
      <c r="B865" s="328"/>
      <c r="C865" s="327"/>
      <c r="D865" s="81" t="s">
        <v>527</v>
      </c>
      <c r="E865" s="58">
        <v>0.345</v>
      </c>
      <c r="F865" s="196"/>
      <c r="G865" s="92" t="str">
        <f t="shared" si="4"/>
        <v>MS Nuts &amp; bolts scrap - 0.345, </v>
      </c>
      <c r="H865" s="426"/>
      <c r="I865" s="98"/>
      <c r="J865" s="98"/>
      <c r="K865" s="98"/>
      <c r="L865" s="98"/>
      <c r="M865" s="98"/>
      <c r="N865" s="98"/>
      <c r="O865" s="98"/>
    </row>
    <row r="866" spans="1:15" ht="15" customHeight="1">
      <c r="A866" s="328"/>
      <c r="B866" s="328"/>
      <c r="C866" s="327"/>
      <c r="D866" s="81" t="s">
        <v>528</v>
      </c>
      <c r="E866" s="58">
        <v>0.078</v>
      </c>
      <c r="F866" s="196"/>
      <c r="G866" s="92" t="str">
        <f t="shared" si="4"/>
        <v>Cast Iron Scrap - 0.078, </v>
      </c>
      <c r="H866" s="426"/>
      <c r="I866" s="98"/>
      <c r="J866" s="98"/>
      <c r="K866" s="98"/>
      <c r="L866" s="98"/>
      <c r="M866" s="98"/>
      <c r="N866" s="98"/>
      <c r="O866" s="98"/>
    </row>
    <row r="867" spans="1:15" ht="15" customHeight="1">
      <c r="A867" s="328"/>
      <c r="B867" s="328"/>
      <c r="C867" s="327"/>
      <c r="D867" s="281" t="s">
        <v>60</v>
      </c>
      <c r="E867" s="179">
        <v>1.879</v>
      </c>
      <c r="F867" s="196">
        <v>1.37</v>
      </c>
      <c r="G867" s="92" t="str">
        <f t="shared" si="4"/>
        <v>Transformer body scrap - 1.879, </v>
      </c>
      <c r="H867" s="426"/>
      <c r="I867" s="98"/>
      <c r="J867" s="98"/>
      <c r="K867" s="98"/>
      <c r="L867" s="98"/>
      <c r="M867" s="98"/>
      <c r="N867" s="98"/>
      <c r="O867" s="98"/>
    </row>
    <row r="868" spans="1:15" ht="15" customHeight="1">
      <c r="A868" s="328"/>
      <c r="B868" s="328"/>
      <c r="C868" s="327"/>
      <c r="D868" s="281" t="s">
        <v>64</v>
      </c>
      <c r="E868" s="179">
        <v>1.09</v>
      </c>
      <c r="F868" s="196">
        <v>0.752</v>
      </c>
      <c r="G868" s="92" t="str">
        <f t="shared" si="4"/>
        <v>Teen Patra scrap - 1.09, </v>
      </c>
      <c r="H868" s="426"/>
      <c r="I868" s="98" t="e">
        <f ca="1">IF(G867&gt;=6,(MID(H868,1,1)&amp;MID(H868,2,3)+1),CELL("address",Z868))</f>
        <v>#VALUE!</v>
      </c>
      <c r="J868" s="98" t="e">
        <f ca="1">IF(G867&gt;=7,(MID(I868,1,1)&amp;MID(I868,2,3)+1),CELL("address",AA868))</f>
        <v>#VALUE!</v>
      </c>
      <c r="K868" s="98" t="e">
        <f ca="1">IF(G867&gt;=8,(MID(J868,1,1)&amp;MID(J868,2,3)+1),CELL("address",AB868))</f>
        <v>#VALUE!</v>
      </c>
      <c r="L868" s="98" t="e">
        <f ca="1">IF(G867&gt;=9,(MID(K868,1,1)&amp;MID(K868,2,3)+1),CELL("address",AC868))</f>
        <v>#VALUE!</v>
      </c>
      <c r="M868" s="98" t="e">
        <f ca="1">IF(G867&gt;=10,(MID(L868,1,1)&amp;MID(L868,2,3)+1),CELL("address",AD868))</f>
        <v>#VALUE!</v>
      </c>
      <c r="N868" s="98" t="e">
        <f ca="1">IF(G867&gt;=11,(MID(M868,1,1)&amp;MID(M868,2,3)+1),CELL("address",AE868))</f>
        <v>#VALUE!</v>
      </c>
      <c r="O868" s="98" t="e">
        <f ca="1">IF(G867&gt;=12,(MID(N868,1,1)&amp;MID(N868,2,3)+1),CELL("address",AF868))</f>
        <v>#VALUE!</v>
      </c>
    </row>
    <row r="869" spans="1:15" ht="15" customHeight="1">
      <c r="A869" s="328"/>
      <c r="B869" s="328"/>
      <c r="C869" s="327"/>
      <c r="D869" s="281" t="s">
        <v>193</v>
      </c>
      <c r="E869" s="179">
        <v>0.226</v>
      </c>
      <c r="F869" s="196">
        <v>0.12</v>
      </c>
      <c r="G869" s="92" t="str">
        <f t="shared" si="4"/>
        <v>G.I. scrap - 0.226, </v>
      </c>
      <c r="H869" s="426"/>
      <c r="I869" s="98"/>
      <c r="J869" s="98"/>
      <c r="K869" s="98"/>
      <c r="L869" s="98"/>
      <c r="M869" s="98"/>
      <c r="N869" s="98"/>
      <c r="O869" s="98"/>
    </row>
    <row r="870" spans="1:15" ht="15" customHeight="1">
      <c r="A870" s="328"/>
      <c r="B870" s="328"/>
      <c r="C870" s="327"/>
      <c r="D870" s="81" t="s">
        <v>455</v>
      </c>
      <c r="E870" s="58">
        <v>0.019</v>
      </c>
      <c r="F870" s="196"/>
      <c r="G870" s="92" t="str">
        <f t="shared" si="4"/>
        <v>G.I. Wire/GSL scrap - 0.019, </v>
      </c>
      <c r="H870" s="426"/>
      <c r="I870" s="98"/>
      <c r="J870" s="98"/>
      <c r="K870" s="98"/>
      <c r="L870" s="98"/>
      <c r="M870" s="98"/>
      <c r="N870" s="98"/>
      <c r="O870" s="98"/>
    </row>
    <row r="871" spans="1:15" ht="15" customHeight="1">
      <c r="A871" s="39"/>
      <c r="B871" s="42"/>
      <c r="C871" s="229"/>
      <c r="D871" s="81"/>
      <c r="E871" s="58"/>
      <c r="F871" s="196"/>
      <c r="G871" s="203"/>
      <c r="H871" s="426"/>
      <c r="I871" s="98"/>
      <c r="J871" s="98"/>
      <c r="K871" s="98"/>
      <c r="L871" s="98"/>
      <c r="M871" s="98"/>
      <c r="N871" s="98"/>
      <c r="O871" s="98"/>
    </row>
    <row r="872" spans="1:15" ht="15" customHeight="1">
      <c r="A872" s="335"/>
      <c r="B872" s="336"/>
      <c r="C872" s="40"/>
      <c r="D872" s="56"/>
      <c r="E872" s="52">
        <f>SUM(E874:E877)</f>
        <v>11.938</v>
      </c>
      <c r="F872" s="98"/>
      <c r="G872" s="98"/>
      <c r="H872" s="426"/>
      <c r="I872" s="98"/>
      <c r="J872" s="98"/>
      <c r="K872" s="98"/>
      <c r="L872" s="98"/>
      <c r="M872" s="98"/>
      <c r="N872" s="98"/>
      <c r="O872" s="98"/>
    </row>
    <row r="873" spans="1:18" ht="15" customHeight="1">
      <c r="A873" s="329" t="s">
        <v>5</v>
      </c>
      <c r="B873" s="329"/>
      <c r="C873" s="40" t="s">
        <v>17</v>
      </c>
      <c r="D873" s="212" t="s">
        <v>18</v>
      </c>
      <c r="E873" s="39" t="s">
        <v>7</v>
      </c>
      <c r="F873" s="98"/>
      <c r="G873" s="93" t="str">
        <f>CONCATENATE("Misc. Iron Scrap, Lying at ",C874,". Quantity in MT - ")</f>
        <v>Misc. Iron Scrap, Lying at OL Malerkotla. Quantity in MT - </v>
      </c>
      <c r="H873" s="427" t="str">
        <f ca="1">CONCATENATE(G873,G874,(INDIRECT(I874)),(INDIRECT(J874)),(INDIRECT(K874)),(INDIRECT(L874)),(INDIRECT(M874)),(INDIRECT(N874)),(INDIRECT(O874)),(INDIRECT(P874)),(INDIRECT(Q874)),(INDIRECT(R874)),".")</f>
        <v>Misc. Iron Scrap, Lying at OL Malerkotla. Quantity in MT - MS iron scrap - 6.273, Transformer body scrap - 4.902, MS Rail scrap - 0.691, M.S. Nuts &amp; Bolts Scrap - 0.072, .</v>
      </c>
      <c r="I873" s="98" t="str">
        <f aca="true" ca="1" t="array" ref="I873">CELL("address",INDEX(G873:G891,MATCH(TRUE,ISBLANK(G873:G891),0)))</f>
        <v>$G$878</v>
      </c>
      <c r="J873" s="98">
        <f aca="true" t="array" ref="J873">MATCH(TRUE,ISBLANK(G873:G891),0)</f>
        <v>6</v>
      </c>
      <c r="K873" s="98">
        <f>J873-3</f>
        <v>3</v>
      </c>
      <c r="L873" s="98"/>
      <c r="M873" s="98"/>
      <c r="N873" s="98"/>
      <c r="O873" s="98"/>
      <c r="P873" s="98"/>
      <c r="Q873" s="98"/>
      <c r="R873" s="98"/>
    </row>
    <row r="874" spans="1:18" ht="15" customHeight="1">
      <c r="A874" s="329" t="s">
        <v>192</v>
      </c>
      <c r="B874" s="329"/>
      <c r="C874" s="327" t="s">
        <v>126</v>
      </c>
      <c r="D874" s="283" t="s">
        <v>29</v>
      </c>
      <c r="E874" s="288">
        <v>6.273</v>
      </c>
      <c r="F874" s="98">
        <v>4.931</v>
      </c>
      <c r="G874" s="92" t="str">
        <f>CONCATENATE(D874," - ",E874,", ")</f>
        <v>MS iron scrap - 6.273, </v>
      </c>
      <c r="H874" s="427"/>
      <c r="I874" s="98" t="str">
        <f ca="1">IF(J873&gt;=3,(MID(I873,2,1)&amp;MID(I873,4,3)-K873),CELL("address",Z874))</f>
        <v>G875</v>
      </c>
      <c r="J874" s="98" t="str">
        <f ca="1">IF(J873&gt;=4,(MID(I874,1,1)&amp;MID(I874,2,3)+1),CELL("address",AA874))</f>
        <v>G876</v>
      </c>
      <c r="K874" s="98" t="str">
        <f ca="1">IF(J873&gt;=5,(MID(J874,1,1)&amp;MID(J874,2,3)+1),CELL("address",AB874))</f>
        <v>G877</v>
      </c>
      <c r="L874" s="98" t="str">
        <f ca="1">IF(J873&gt;=6,(MID(K874,1,1)&amp;MID(K874,2,3)+1),CELL("address",AC874))</f>
        <v>G878</v>
      </c>
      <c r="M874" s="98" t="str">
        <f ca="1">IF(J873&gt;=7,(MID(L874,1,1)&amp;MID(L874,2,3)+1),CELL("address",AD874))</f>
        <v>$AD$874</v>
      </c>
      <c r="N874" s="98" t="str">
        <f ca="1">IF(J873&gt;=8,(MID(M874,1,1)&amp;MID(M874,2,3)+1),CELL("address",AE874))</f>
        <v>$AE$874</v>
      </c>
      <c r="O874" s="98" t="str">
        <f ca="1">IF(J873&gt;=9,(MID(N874,1,1)&amp;MID(N874,2,3)+1),CELL("address",AF874))</f>
        <v>$AF$874</v>
      </c>
      <c r="P874" s="98" t="str">
        <f ca="1">IF(J873&gt;=10,(MID(O874,1,1)&amp;MID(O874,2,3)+1),CELL("address",AG874))</f>
        <v>$AG$874</v>
      </c>
      <c r="Q874" s="98" t="str">
        <f ca="1">IF(J873&gt;=11,(MID(P874,1,1)&amp;MID(P874,2,3)+1),CELL("address",AH874))</f>
        <v>$AH$874</v>
      </c>
      <c r="R874" s="98" t="str">
        <f ca="1">IF(J873&gt;=12,(MID(Q874,1,1)&amp;MID(Q874,2,3)+1),CELL("address",AI874))</f>
        <v>$AI$874</v>
      </c>
    </row>
    <row r="875" spans="1:15" ht="15" customHeight="1">
      <c r="A875" s="329"/>
      <c r="B875" s="329"/>
      <c r="C875" s="327"/>
      <c r="D875" s="281" t="s">
        <v>60</v>
      </c>
      <c r="E875" s="288">
        <v>4.902</v>
      </c>
      <c r="F875" s="98">
        <v>2.0809999999999995</v>
      </c>
      <c r="G875" s="92" t="str">
        <f>CONCATENATE(D875," - ",E875,", ")</f>
        <v>Transformer body scrap - 4.902, </v>
      </c>
      <c r="H875" s="426"/>
      <c r="I875" s="98" t="e">
        <f ca="1">IF(G874&gt;=6,(MID(H875,1,1)&amp;MID(H875,2,3)+1),CELL("address",Z875))</f>
        <v>#VALUE!</v>
      </c>
      <c r="J875" s="98" t="e">
        <f ca="1">IF(G874&gt;=7,(MID(I875,1,1)&amp;MID(I875,2,3)+1),CELL("address",AA875))</f>
        <v>#VALUE!</v>
      </c>
      <c r="K875" s="98" t="e">
        <f ca="1">IF(G874&gt;=8,(MID(J875,1,1)&amp;MID(J875,2,3)+1),CELL("address",AB875))</f>
        <v>#VALUE!</v>
      </c>
      <c r="L875" s="98" t="e">
        <f ca="1">IF(G874&gt;=9,(MID(K875,1,1)&amp;MID(K875,2,3)+1),CELL("address",AC875))</f>
        <v>#VALUE!</v>
      </c>
      <c r="M875" s="98" t="e">
        <f ca="1">IF(G874&gt;=10,(MID(L875,1,1)&amp;MID(L875,2,3)+1),CELL("address",AD875))</f>
        <v>#VALUE!</v>
      </c>
      <c r="N875" s="98" t="e">
        <f ca="1">IF(G874&gt;=11,(MID(M875,1,1)&amp;MID(M875,2,3)+1),CELL("address",AE875))</f>
        <v>#VALUE!</v>
      </c>
      <c r="O875" s="98" t="e">
        <f ca="1">IF(G874&gt;=12,(MID(N875,1,1)&amp;MID(N875,2,3)+1),CELL("address",AF875))</f>
        <v>#VALUE!</v>
      </c>
    </row>
    <row r="876" spans="1:15" ht="15" customHeight="1">
      <c r="A876" s="329"/>
      <c r="B876" s="329"/>
      <c r="C876" s="327"/>
      <c r="D876" s="283" t="s">
        <v>61</v>
      </c>
      <c r="E876" s="179">
        <v>0.691</v>
      </c>
      <c r="F876" s="98">
        <v>0.42999999999999994</v>
      </c>
      <c r="G876" s="92" t="str">
        <f>CONCATENATE(D876," - ",E876,", ")</f>
        <v>MS Rail scrap - 0.691, </v>
      </c>
      <c r="H876" s="426"/>
      <c r="I876" s="98"/>
      <c r="J876" s="98"/>
      <c r="K876" s="98"/>
      <c r="L876" s="98"/>
      <c r="M876" s="98"/>
      <c r="N876" s="98"/>
      <c r="O876" s="98"/>
    </row>
    <row r="877" spans="1:15" ht="15" customHeight="1">
      <c r="A877" s="329"/>
      <c r="B877" s="329"/>
      <c r="C877" s="327"/>
      <c r="D877" s="81" t="s">
        <v>199</v>
      </c>
      <c r="E877" s="58">
        <v>0.072</v>
      </c>
      <c r="F877" s="98"/>
      <c r="G877" s="92" t="str">
        <f>CONCATENATE(D877," - ",E877,", ")</f>
        <v>M.S. Nuts &amp; Bolts Scrap - 0.072, </v>
      </c>
      <c r="H877" s="426"/>
      <c r="I877" s="98"/>
      <c r="J877" s="98"/>
      <c r="K877" s="98"/>
      <c r="L877" s="98"/>
      <c r="M877" s="98"/>
      <c r="N877" s="98"/>
      <c r="O877" s="98"/>
    </row>
    <row r="878" spans="1:15" ht="15" customHeight="1">
      <c r="A878" s="39"/>
      <c r="B878" s="41"/>
      <c r="C878" s="48"/>
      <c r="D878" s="38"/>
      <c r="E878" s="179"/>
      <c r="F878" s="98"/>
      <c r="G878" s="98"/>
      <c r="H878" s="426"/>
      <c r="I878" s="98"/>
      <c r="J878" s="98"/>
      <c r="K878" s="98"/>
      <c r="L878" s="98"/>
      <c r="M878" s="98"/>
      <c r="N878" s="98"/>
      <c r="O878" s="98"/>
    </row>
    <row r="879" spans="1:15" ht="15" customHeight="1">
      <c r="A879" s="53"/>
      <c r="B879" s="54"/>
      <c r="C879" s="54"/>
      <c r="D879" s="55"/>
      <c r="E879" s="163">
        <f>SUM(E881:E884)</f>
        <v>4.8100000000000005</v>
      </c>
      <c r="F879" s="98"/>
      <c r="G879" s="98"/>
      <c r="H879" s="426"/>
      <c r="I879" s="98"/>
      <c r="J879" s="98"/>
      <c r="K879" s="98"/>
      <c r="L879" s="98"/>
      <c r="M879" s="98"/>
      <c r="N879" s="98"/>
      <c r="O879" s="98"/>
    </row>
    <row r="880" spans="1:18" ht="15" customHeight="1">
      <c r="A880" s="329" t="s">
        <v>5</v>
      </c>
      <c r="B880" s="329"/>
      <c r="C880" s="40" t="s">
        <v>17</v>
      </c>
      <c r="D880" s="212" t="s">
        <v>18</v>
      </c>
      <c r="E880" s="39" t="s">
        <v>7</v>
      </c>
      <c r="F880" s="98"/>
      <c r="G880" s="93" t="str">
        <f>CONCATENATE("Misc. Iron Scrap, Lying at ",C881,". Quantity in MT - ")</f>
        <v>Misc. Iron Scrap, Lying at CS Malout. Quantity in MT - </v>
      </c>
      <c r="H880" s="427" t="str">
        <f ca="1">CONCATENATE(G880,G881,(INDIRECT(I881)),(INDIRECT(J881)),(INDIRECT(K881)),(INDIRECT(L881)),(INDIRECT(M881)),(INDIRECT(N881)),(INDIRECT(O881)),(INDIRECT(P881)),(INDIRECT(Q881)),(INDIRECT(R881)),".")</f>
        <v>Misc. Iron Scrap, Lying at CS Malout. Quantity in MT - MS iron scrap - 4.729, M.S. Nuts &amp; Bolts Scrap - 0.025, G.I. Scrap - 0.027, G.I. Wire/GSL scrap - 0.029, .</v>
      </c>
      <c r="I880" s="98" t="str">
        <f aca="true" ca="1" t="array" ref="I880">CELL("address",INDEX(G880:G899,MATCH(TRUE,ISBLANK(G880:G899),0)))</f>
        <v>$G$885</v>
      </c>
      <c r="J880" s="98">
        <f aca="true" t="array" ref="J880">MATCH(TRUE,ISBLANK(G880:G899),0)</f>
        <v>6</v>
      </c>
      <c r="K880" s="98">
        <f>J880-3</f>
        <v>3</v>
      </c>
      <c r="L880" s="98"/>
      <c r="M880" s="98"/>
      <c r="N880" s="98"/>
      <c r="O880" s="98"/>
      <c r="P880" s="98"/>
      <c r="Q880" s="98"/>
      <c r="R880" s="98"/>
    </row>
    <row r="881" spans="1:18" ht="15" customHeight="1">
      <c r="A881" s="328" t="s">
        <v>454</v>
      </c>
      <c r="B881" s="328"/>
      <c r="C881" s="327" t="s">
        <v>95</v>
      </c>
      <c r="D881" s="283" t="s">
        <v>29</v>
      </c>
      <c r="E881" s="291">
        <v>4.729</v>
      </c>
      <c r="F881" s="98">
        <v>2.073</v>
      </c>
      <c r="G881" s="92" t="str">
        <f>CONCATENATE(D881," - ",E881,", ")</f>
        <v>MS iron scrap - 4.729, </v>
      </c>
      <c r="H881" s="427"/>
      <c r="I881" s="98" t="str">
        <f ca="1">IF(J880&gt;=3,(MID(I880,2,1)&amp;MID(I880,4,3)-K880),CELL("address",Z881))</f>
        <v>G882</v>
      </c>
      <c r="J881" s="98" t="str">
        <f ca="1">IF(J880&gt;=4,(MID(I881,1,1)&amp;MID(I881,2,3)+1),CELL("address",AA881))</f>
        <v>G883</v>
      </c>
      <c r="K881" s="98" t="str">
        <f ca="1">IF(J880&gt;=5,(MID(J881,1,1)&amp;MID(J881,2,3)+1),CELL("address",AB881))</f>
        <v>G884</v>
      </c>
      <c r="L881" s="98" t="str">
        <f ca="1">IF(J880&gt;=6,(MID(K881,1,1)&amp;MID(K881,2,3)+1),CELL("address",AC881))</f>
        <v>G885</v>
      </c>
      <c r="M881" s="98" t="str">
        <f ca="1">IF(J880&gt;=7,(MID(L881,1,1)&amp;MID(L881,2,3)+1),CELL("address",AD881))</f>
        <v>$AD$881</v>
      </c>
      <c r="N881" s="98" t="str">
        <f ca="1">IF(J880&gt;=8,(MID(M881,1,1)&amp;MID(M881,2,3)+1),CELL("address",AE881))</f>
        <v>$AE$881</v>
      </c>
      <c r="O881" s="98" t="str">
        <f ca="1">IF(J880&gt;=9,(MID(N881,1,1)&amp;MID(N881,2,3)+1),CELL("address",AF881))</f>
        <v>$AF$881</v>
      </c>
      <c r="P881" s="98" t="str">
        <f ca="1">IF(J880&gt;=10,(MID(O881,1,1)&amp;MID(O881,2,3)+1),CELL("address",AG881))</f>
        <v>$AG$881</v>
      </c>
      <c r="Q881" s="98" t="str">
        <f ca="1">IF(J880&gt;=11,(MID(P881,1,1)&amp;MID(P881,2,3)+1),CELL("address",AH881))</f>
        <v>$AH$881</v>
      </c>
      <c r="R881" s="98" t="str">
        <f ca="1">IF(J880&gt;=12,(MID(Q881,1,1)&amp;MID(Q881,2,3)+1),CELL("address",AI881))</f>
        <v>$AI$881</v>
      </c>
    </row>
    <row r="882" spans="1:15" ht="15" customHeight="1">
      <c r="A882" s="328"/>
      <c r="B882" s="328"/>
      <c r="C882" s="327"/>
      <c r="D882" s="81" t="s">
        <v>199</v>
      </c>
      <c r="E882" s="69">
        <v>0.025</v>
      </c>
      <c r="F882" s="98">
        <v>0.025</v>
      </c>
      <c r="G882" s="92" t="str">
        <f>CONCATENATE(D882," - ",E882,", ")</f>
        <v>M.S. Nuts &amp; Bolts Scrap - 0.025, </v>
      </c>
      <c r="H882" s="426"/>
      <c r="I882" s="98"/>
      <c r="J882" s="98"/>
      <c r="K882" s="98"/>
      <c r="L882" s="98"/>
      <c r="M882" s="98"/>
      <c r="N882" s="98"/>
      <c r="O882" s="98"/>
    </row>
    <row r="883" spans="1:15" ht="15" customHeight="1">
      <c r="A883" s="328"/>
      <c r="B883" s="328"/>
      <c r="C883" s="327"/>
      <c r="D883" s="281" t="s">
        <v>198</v>
      </c>
      <c r="E883" s="179">
        <v>0.027</v>
      </c>
      <c r="F883" s="98">
        <v>0.002</v>
      </c>
      <c r="G883" s="92" t="str">
        <f>CONCATENATE(D883," - ",E883,", ")</f>
        <v>G.I. Scrap - 0.027, </v>
      </c>
      <c r="H883" s="426"/>
      <c r="I883" s="98"/>
      <c r="J883" s="98"/>
      <c r="K883" s="98"/>
      <c r="L883" s="98"/>
      <c r="M883" s="98"/>
      <c r="N883" s="98"/>
      <c r="O883" s="98"/>
    </row>
    <row r="884" spans="1:15" ht="15" customHeight="1">
      <c r="A884" s="328"/>
      <c r="B884" s="328"/>
      <c r="C884" s="327"/>
      <c r="D884" s="34" t="s">
        <v>455</v>
      </c>
      <c r="E884" s="179">
        <v>0.029</v>
      </c>
      <c r="F884" s="98">
        <v>0.021</v>
      </c>
      <c r="G884" s="92" t="str">
        <f>CONCATENATE(D884," - ",E884,", ")</f>
        <v>G.I. Wire/GSL scrap - 0.029, </v>
      </c>
      <c r="H884" s="426"/>
      <c r="I884" s="98"/>
      <c r="J884" s="98"/>
      <c r="K884" s="98"/>
      <c r="L884" s="98"/>
      <c r="M884" s="98"/>
      <c r="N884" s="98"/>
      <c r="O884" s="98"/>
    </row>
    <row r="885" spans="1:15" ht="15" customHeight="1">
      <c r="A885" s="39"/>
      <c r="B885" s="41"/>
      <c r="C885" s="48"/>
      <c r="D885" s="38"/>
      <c r="E885" s="179"/>
      <c r="F885" s="98"/>
      <c r="G885" s="98"/>
      <c r="H885" s="426"/>
      <c r="I885" s="98"/>
      <c r="J885" s="98"/>
      <c r="K885" s="98"/>
      <c r="L885" s="98"/>
      <c r="M885" s="98"/>
      <c r="N885" s="98"/>
      <c r="O885" s="98"/>
    </row>
    <row r="886" spans="1:15" ht="15" customHeight="1">
      <c r="A886" s="53"/>
      <c r="B886" s="54"/>
      <c r="C886" s="54"/>
      <c r="D886" s="55"/>
      <c r="E886" s="163">
        <f>SUM(E888:E891)</f>
        <v>4.393</v>
      </c>
      <c r="F886" s="98"/>
      <c r="G886" s="98"/>
      <c r="H886" s="426"/>
      <c r="I886" s="98"/>
      <c r="J886" s="98"/>
      <c r="K886" s="98"/>
      <c r="L886" s="98"/>
      <c r="M886" s="98"/>
      <c r="N886" s="98"/>
      <c r="O886" s="98"/>
    </row>
    <row r="887" spans="1:18" ht="15" customHeight="1">
      <c r="A887" s="329" t="s">
        <v>5</v>
      </c>
      <c r="B887" s="329"/>
      <c r="C887" s="40" t="s">
        <v>17</v>
      </c>
      <c r="D887" s="212" t="s">
        <v>18</v>
      </c>
      <c r="E887" s="39" t="s">
        <v>7</v>
      </c>
      <c r="F887" s="98"/>
      <c r="G887" s="93" t="str">
        <f>CONCATENATE("Misc. Iron Scrap, Lying at ",C888,". Quantity in MT - ")</f>
        <v>Misc. Iron Scrap, Lying at CS Bathinda. Quantity in MT - </v>
      </c>
      <c r="H887" s="427" t="str">
        <f ca="1">CONCATENATE(G887,G888,(INDIRECT(I888)),(INDIRECT(J888)),(INDIRECT(K888)),(INDIRECT(L888)),(INDIRECT(M888)),(INDIRECT(N888)),(INDIRECT(O888)),(INDIRECT(P888)),(INDIRECT(Q888)),(INDIRECT(R888)),".")</f>
        <v>Misc. Iron Scrap, Lying at CS Bathinda. Quantity in MT - MS iron scrap - 3.518, MS Rail scrap - 0.8, Teen Patra scrap - 0.035, G.I. Scrap - 0.04, .</v>
      </c>
      <c r="I887" s="98" t="str">
        <f aca="true" ca="1" t="array" ref="I887">CELL("address",INDEX(G887:G906,MATCH(TRUE,ISBLANK(G887:G906),0)))</f>
        <v>$G$892</v>
      </c>
      <c r="J887" s="98">
        <f aca="true" t="array" ref="J887">MATCH(TRUE,ISBLANK(G887:G906),0)</f>
        <v>6</v>
      </c>
      <c r="K887" s="98">
        <f>J887-3</f>
        <v>3</v>
      </c>
      <c r="L887" s="98"/>
      <c r="M887" s="98"/>
      <c r="N887" s="98"/>
      <c r="O887" s="98"/>
      <c r="P887" s="98"/>
      <c r="Q887" s="98"/>
      <c r="R887" s="98"/>
    </row>
    <row r="888" spans="1:18" ht="15" customHeight="1">
      <c r="A888" s="328" t="s">
        <v>492</v>
      </c>
      <c r="B888" s="328"/>
      <c r="C888" s="327" t="s">
        <v>63</v>
      </c>
      <c r="D888" s="283" t="s">
        <v>29</v>
      </c>
      <c r="E888" s="304">
        <v>3.518</v>
      </c>
      <c r="F888" s="98">
        <v>1.912</v>
      </c>
      <c r="G888" s="92" t="str">
        <f>CONCATENATE(D888," - ",E888,", ")</f>
        <v>MS iron scrap - 3.518, </v>
      </c>
      <c r="H888" s="427"/>
      <c r="I888" s="98" t="str">
        <f ca="1">IF(J887&gt;=3,(MID(I887,2,1)&amp;MID(I887,4,3)-K887),CELL("address",Z888))</f>
        <v>G889</v>
      </c>
      <c r="J888" s="98" t="str">
        <f ca="1">IF(J887&gt;=4,(MID(I888,1,1)&amp;MID(I888,2,3)+1),CELL("address",AA888))</f>
        <v>G890</v>
      </c>
      <c r="K888" s="98" t="str">
        <f ca="1">IF(J887&gt;=5,(MID(J888,1,1)&amp;MID(J888,2,3)+1),CELL("address",AB888))</f>
        <v>G891</v>
      </c>
      <c r="L888" s="98" t="str">
        <f ca="1">IF(J887&gt;=6,(MID(K888,1,1)&amp;MID(K888,2,3)+1),CELL("address",AC888))</f>
        <v>G892</v>
      </c>
      <c r="M888" s="98" t="str">
        <f ca="1">IF(J887&gt;=7,(MID(L888,1,1)&amp;MID(L888,2,3)+1),CELL("address",AD888))</f>
        <v>$AD$888</v>
      </c>
      <c r="N888" s="98" t="str">
        <f ca="1">IF(J887&gt;=8,(MID(M888,1,1)&amp;MID(M888,2,3)+1),CELL("address",AE888))</f>
        <v>$AE$888</v>
      </c>
      <c r="O888" s="98" t="str">
        <f ca="1">IF(J887&gt;=9,(MID(N888,1,1)&amp;MID(N888,2,3)+1),CELL("address",AF888))</f>
        <v>$AF$888</v>
      </c>
      <c r="P888" s="98" t="str">
        <f ca="1">IF(J887&gt;=10,(MID(O888,1,1)&amp;MID(O888,2,3)+1),CELL("address",AG888))</f>
        <v>$AG$888</v>
      </c>
      <c r="Q888" s="98" t="str">
        <f ca="1">IF(J887&gt;=11,(MID(P888,1,1)&amp;MID(P888,2,3)+1),CELL("address",AH888))</f>
        <v>$AH$888</v>
      </c>
      <c r="R888" s="98" t="str">
        <f ca="1">IF(J887&gt;=12,(MID(Q888,1,1)&amp;MID(Q888,2,3)+1),CELL("address",AI888))</f>
        <v>$AI$888</v>
      </c>
    </row>
    <row r="889" spans="1:15" ht="15" customHeight="1">
      <c r="A889" s="328"/>
      <c r="B889" s="328"/>
      <c r="C889" s="327"/>
      <c r="D889" s="42" t="s">
        <v>61</v>
      </c>
      <c r="E889" s="69">
        <v>0.8</v>
      </c>
      <c r="F889" s="98"/>
      <c r="G889" s="92" t="str">
        <f>CONCATENATE(D889," - ",E889,", ")</f>
        <v>MS Rail scrap - 0.8, </v>
      </c>
      <c r="H889" s="426"/>
      <c r="I889" s="98" t="e">
        <f ca="1">IF(G888&gt;=6,(MID(H889,1,1)&amp;MID(H889,2,3)+1),CELL("address",Z889))</f>
        <v>#VALUE!</v>
      </c>
      <c r="J889" s="98" t="e">
        <f ca="1">IF(G888&gt;=7,(MID(I889,1,1)&amp;MID(I889,2,3)+1),CELL("address",AA889))</f>
        <v>#VALUE!</v>
      </c>
      <c r="K889" s="98" t="e">
        <f ca="1">IF(G888&gt;=8,(MID(J889,1,1)&amp;MID(J889,2,3)+1),CELL("address",AB889))</f>
        <v>#VALUE!</v>
      </c>
      <c r="L889" s="98" t="e">
        <f ca="1">IF(G888&gt;=9,(MID(K889,1,1)&amp;MID(K889,2,3)+1),CELL("address",AC889))</f>
        <v>#VALUE!</v>
      </c>
      <c r="M889" s="98" t="e">
        <f ca="1">IF(G888&gt;=10,(MID(L889,1,1)&amp;MID(L889,2,3)+1),CELL("address",AD889))</f>
        <v>#VALUE!</v>
      </c>
      <c r="N889" s="98" t="e">
        <f ca="1">IF(G888&gt;=11,(MID(M889,1,1)&amp;MID(M889,2,3)+1),CELL("address",AE889))</f>
        <v>#VALUE!</v>
      </c>
      <c r="O889" s="98" t="e">
        <f ca="1">IF(G888&gt;=12,(MID(N889,1,1)&amp;MID(N889,2,3)+1),CELL("address",AF889))</f>
        <v>#VALUE!</v>
      </c>
    </row>
    <row r="890" spans="1:15" ht="15" customHeight="1">
      <c r="A890" s="328"/>
      <c r="B890" s="328"/>
      <c r="C890" s="327"/>
      <c r="D890" s="45" t="s">
        <v>64</v>
      </c>
      <c r="E890" s="58">
        <v>0.035</v>
      </c>
      <c r="F890" s="98"/>
      <c r="G890" s="92" t="str">
        <f>CONCATENATE(D890," - ",E890,", ")</f>
        <v>Teen Patra scrap - 0.035, </v>
      </c>
      <c r="H890" s="426"/>
      <c r="I890" s="98"/>
      <c r="J890" s="98"/>
      <c r="K890" s="98"/>
      <c r="L890" s="98"/>
      <c r="M890" s="98"/>
      <c r="N890" s="98"/>
      <c r="O890" s="98"/>
    </row>
    <row r="891" spans="1:15" ht="15" customHeight="1">
      <c r="A891" s="328"/>
      <c r="B891" s="328"/>
      <c r="C891" s="327"/>
      <c r="D891" s="281" t="s">
        <v>198</v>
      </c>
      <c r="E891" s="179">
        <v>0.04</v>
      </c>
      <c r="F891" s="98">
        <v>0.038</v>
      </c>
      <c r="G891" s="92" t="str">
        <f>CONCATENATE(D891," - ",E891,", ")</f>
        <v>G.I. Scrap - 0.04, </v>
      </c>
      <c r="H891" s="426"/>
      <c r="I891" s="98"/>
      <c r="J891" s="98"/>
      <c r="K891" s="98"/>
      <c r="L891" s="98"/>
      <c r="M891" s="98"/>
      <c r="N891" s="98"/>
      <c r="O891" s="98"/>
    </row>
    <row r="892" spans="1:15" ht="15" customHeight="1">
      <c r="A892" s="39"/>
      <c r="B892" s="41"/>
      <c r="C892" s="48"/>
      <c r="D892" s="38"/>
      <c r="E892" s="179"/>
      <c r="F892" s="98"/>
      <c r="G892" s="98"/>
      <c r="H892" s="426"/>
      <c r="I892" s="98"/>
      <c r="J892" s="98"/>
      <c r="K892" s="98"/>
      <c r="L892" s="98"/>
      <c r="M892" s="98"/>
      <c r="N892" s="98"/>
      <c r="O892" s="98"/>
    </row>
    <row r="893" spans="1:15" ht="15" customHeight="1">
      <c r="A893" s="53"/>
      <c r="B893" s="54"/>
      <c r="C893" s="54"/>
      <c r="D893" s="56"/>
      <c r="E893" s="52">
        <f>SUM(E895:E897)</f>
        <v>2.716</v>
      </c>
      <c r="F893" s="98"/>
      <c r="G893" s="98"/>
      <c r="H893" s="426"/>
      <c r="I893" s="98"/>
      <c r="J893" s="98"/>
      <c r="K893" s="98"/>
      <c r="L893" s="98"/>
      <c r="M893" s="98"/>
      <c r="N893" s="98"/>
      <c r="O893" s="98"/>
    </row>
    <row r="894" spans="1:18" ht="15" customHeight="1">
      <c r="A894" s="351" t="s">
        <v>5</v>
      </c>
      <c r="B894" s="351"/>
      <c r="C894" s="23" t="s">
        <v>17</v>
      </c>
      <c r="D894" s="72" t="s">
        <v>18</v>
      </c>
      <c r="E894" s="23" t="s">
        <v>7</v>
      </c>
      <c r="F894" s="98"/>
      <c r="G894" s="93" t="str">
        <f>CONCATENATE("Misc. Iron Scrap, Lying at ",C895,". Quantity in MT - ")</f>
        <v>Misc. Iron Scrap, Lying at OL Moga. Quantity in MT - </v>
      </c>
      <c r="H894" s="427" t="str">
        <f ca="1">CONCATENATE(G894,G895,(INDIRECT(I895)),(INDIRECT(J895)),(INDIRECT(K895)),(INDIRECT(L895)),(INDIRECT(M895)),(INDIRECT(N895)),(INDIRECT(O895)),(INDIRECT(P895)),(INDIRECT(Q895)),(INDIRECT(R895)),".")</f>
        <v>Misc. Iron Scrap, Lying at OL Moga. Quantity in MT - MS iron scrap - 1.893, Transformer body scrap - 0.315, MS Rail scrap - 0.508, .</v>
      </c>
      <c r="I894" s="98" t="str">
        <f aca="true" ca="1" t="array" ref="I894">CELL("address",INDEX(G894:G914,MATCH(TRUE,ISBLANK(G894:G914),0)))</f>
        <v>$G$898</v>
      </c>
      <c r="J894" s="98">
        <f aca="true" t="array" ref="J894">MATCH(TRUE,ISBLANK(G894:G914),0)</f>
        <v>5</v>
      </c>
      <c r="K894" s="98">
        <f>J894-3</f>
        <v>2</v>
      </c>
      <c r="L894" s="98"/>
      <c r="M894" s="98"/>
      <c r="N894" s="98"/>
      <c r="O894" s="98"/>
      <c r="P894" s="98"/>
      <c r="Q894" s="98"/>
      <c r="R894" s="98"/>
    </row>
    <row r="895" spans="1:18" ht="15" customHeight="1">
      <c r="A895" s="329" t="s">
        <v>493</v>
      </c>
      <c r="B895" s="329"/>
      <c r="C895" s="327" t="s">
        <v>269</v>
      </c>
      <c r="D895" s="283" t="s">
        <v>29</v>
      </c>
      <c r="E895" s="278">
        <v>1.893</v>
      </c>
      <c r="F895" s="98">
        <v>0.697</v>
      </c>
      <c r="G895" s="92" t="str">
        <f>CONCATENATE(D895," - ",E895,", ")</f>
        <v>MS iron scrap - 1.893, </v>
      </c>
      <c r="H895" s="427"/>
      <c r="I895" s="98" t="str">
        <f ca="1">IF(J894&gt;=3,(MID(I894,2,1)&amp;MID(I894,4,3)-K894),CELL("address",Z895))</f>
        <v>G896</v>
      </c>
      <c r="J895" s="98" t="str">
        <f ca="1">IF(J894&gt;=4,(MID(I895,1,1)&amp;MID(I895,2,3)+1),CELL("address",AA895))</f>
        <v>G897</v>
      </c>
      <c r="K895" s="98" t="str">
        <f ca="1">IF(J894&gt;=5,(MID(J895,1,1)&amp;MID(J895,2,3)+1),CELL("address",AB895))</f>
        <v>G898</v>
      </c>
      <c r="L895" s="98" t="str">
        <f ca="1">IF(J894&gt;=6,(MID(K895,1,1)&amp;MID(K895,2,3)+1),CELL("address",AC895))</f>
        <v>$AC$895</v>
      </c>
      <c r="M895" s="98" t="str">
        <f ca="1">IF(J894&gt;=7,(MID(L895,1,1)&amp;MID(L895,2,3)+1),CELL("address",AD895))</f>
        <v>$AD$895</v>
      </c>
      <c r="N895" s="98" t="str">
        <f ca="1">IF(J894&gt;=8,(MID(M895,1,1)&amp;MID(M895,2,3)+1),CELL("address",AE895))</f>
        <v>$AE$895</v>
      </c>
      <c r="O895" s="98" t="str">
        <f ca="1">IF(J894&gt;=9,(MID(N895,1,1)&amp;MID(N895,2,3)+1),CELL("address",AF895))</f>
        <v>$AF$895</v>
      </c>
      <c r="P895" s="98" t="str">
        <f ca="1">IF(J894&gt;=10,(MID(O895,1,1)&amp;MID(O895,2,3)+1),CELL("address",AG895))</f>
        <v>$AG$895</v>
      </c>
      <c r="Q895" s="98" t="str">
        <f ca="1">IF(J894&gt;=11,(MID(P895,1,1)&amp;MID(P895,2,3)+1),CELL("address",AH895))</f>
        <v>$AH$895</v>
      </c>
      <c r="R895" s="98" t="str">
        <f ca="1">IF(J894&gt;=12,(MID(Q895,1,1)&amp;MID(Q895,2,3)+1),CELL("address",AI895))</f>
        <v>$AI$895</v>
      </c>
    </row>
    <row r="896" spans="1:15" ht="15" customHeight="1">
      <c r="A896" s="329"/>
      <c r="B896" s="329"/>
      <c r="C896" s="327"/>
      <c r="D896" s="281" t="s">
        <v>60</v>
      </c>
      <c r="E896" s="278">
        <v>0.315</v>
      </c>
      <c r="F896" s="98">
        <v>0.08</v>
      </c>
      <c r="G896" s="92" t="str">
        <f>CONCATENATE(D896," - ",E896,", ")</f>
        <v>Transformer body scrap - 0.315, </v>
      </c>
      <c r="H896" s="426"/>
      <c r="I896" s="98"/>
      <c r="J896" s="98"/>
      <c r="K896" s="98"/>
      <c r="L896" s="98"/>
      <c r="M896" s="98"/>
      <c r="N896" s="98"/>
      <c r="O896" s="98"/>
    </row>
    <row r="897" spans="1:15" ht="15" customHeight="1">
      <c r="A897" s="329"/>
      <c r="B897" s="329"/>
      <c r="C897" s="327"/>
      <c r="D897" s="283" t="s">
        <v>61</v>
      </c>
      <c r="E897" s="179">
        <v>0.508</v>
      </c>
      <c r="F897" s="196" t="s">
        <v>681</v>
      </c>
      <c r="G897" s="92" t="str">
        <f>CONCATENATE(D897," - ",E897,", ")</f>
        <v>MS Rail scrap - 0.508, </v>
      </c>
      <c r="H897" s="426"/>
      <c r="I897" s="98"/>
      <c r="J897" s="98"/>
      <c r="K897" s="98"/>
      <c r="L897" s="98"/>
      <c r="M897" s="98"/>
      <c r="N897" s="98"/>
      <c r="O897" s="98"/>
    </row>
    <row r="898" spans="1:15" ht="15" customHeight="1">
      <c r="A898" s="39"/>
      <c r="B898" s="41"/>
      <c r="C898" s="48"/>
      <c r="D898" s="38"/>
      <c r="E898" s="179"/>
      <c r="F898" s="98"/>
      <c r="G898" s="98"/>
      <c r="H898" s="426"/>
      <c r="I898" s="98"/>
      <c r="J898" s="98"/>
      <c r="K898" s="98"/>
      <c r="L898" s="98"/>
      <c r="M898" s="98"/>
      <c r="N898" s="98"/>
      <c r="O898" s="98"/>
    </row>
    <row r="899" spans="1:15" ht="15" customHeight="1">
      <c r="A899" s="53"/>
      <c r="B899" s="54"/>
      <c r="C899" s="54"/>
      <c r="D899" s="55"/>
      <c r="E899" s="163">
        <f>SUM(E901:E902)</f>
        <v>2.737</v>
      </c>
      <c r="F899" s="98"/>
      <c r="G899" s="98"/>
      <c r="H899" s="426"/>
      <c r="I899" s="98"/>
      <c r="J899" s="98"/>
      <c r="K899" s="98"/>
      <c r="L899" s="98"/>
      <c r="M899" s="98"/>
      <c r="N899" s="98"/>
      <c r="O899" s="98"/>
    </row>
    <row r="900" spans="1:18" ht="15" customHeight="1">
      <c r="A900" s="329" t="s">
        <v>5</v>
      </c>
      <c r="B900" s="329"/>
      <c r="C900" s="40" t="s">
        <v>17</v>
      </c>
      <c r="D900" s="212" t="s">
        <v>18</v>
      </c>
      <c r="E900" s="39" t="s">
        <v>7</v>
      </c>
      <c r="F900" s="98"/>
      <c r="G900" s="93" t="str">
        <f>CONCATENATE("Misc. Iron Scrap, Lying at ",C901,". Quantity in MT - ")</f>
        <v>Misc. Iron Scrap, Lying at OL Patran. Quantity in MT - </v>
      </c>
      <c r="H900" s="427" t="str">
        <f ca="1">CONCATENATE(G900,G901,(INDIRECT(I901)),(INDIRECT(J901)),(INDIRECT(K901)),(INDIRECT(L901)),(INDIRECT(M901)),(INDIRECT(N901)),(INDIRECT(O901)),(INDIRECT(P901)),(INDIRECT(Q901)),(INDIRECT(R901)),".")</f>
        <v>Misc. Iron Scrap, Lying at OL Patran. Quantity in MT - MS iron scrap - 2.222, Teen Patra scrap - 0.515, .</v>
      </c>
      <c r="I900" s="98" t="str">
        <f aca="true" ca="1" t="array" ref="I900">CELL("address",INDEX(G900:G937,MATCH(TRUE,ISBLANK(G900:G937),0)))</f>
        <v>$G$903</v>
      </c>
      <c r="J900" s="98">
        <f aca="true" t="array" ref="J900">MATCH(TRUE,ISBLANK(G900:G937),0)</f>
        <v>4</v>
      </c>
      <c r="K900" s="98">
        <f>J900-3</f>
        <v>1</v>
      </c>
      <c r="L900" s="98"/>
      <c r="M900" s="98"/>
      <c r="N900" s="98"/>
      <c r="O900" s="98"/>
      <c r="P900" s="98"/>
      <c r="Q900" s="98"/>
      <c r="R900" s="98"/>
    </row>
    <row r="901" spans="1:18" ht="15" customHeight="1">
      <c r="A901" s="329" t="s">
        <v>497</v>
      </c>
      <c r="B901" s="329"/>
      <c r="C901" s="327" t="s">
        <v>102</v>
      </c>
      <c r="D901" s="283" t="s">
        <v>29</v>
      </c>
      <c r="E901" s="288">
        <v>2.222</v>
      </c>
      <c r="F901" s="98">
        <v>1.005</v>
      </c>
      <c r="G901" s="92" t="str">
        <f>CONCATENATE(D901," - ",E901,", ")</f>
        <v>MS iron scrap - 2.222, </v>
      </c>
      <c r="H901" s="427"/>
      <c r="I901" s="98" t="str">
        <f ca="1">IF(J900&gt;=3,(MID(I900,2,1)&amp;MID(I900,4,3)-K900),CELL("address",Z901))</f>
        <v>G902</v>
      </c>
      <c r="J901" s="98" t="str">
        <f ca="1">IF(J900&gt;=4,(MID(I901,1,1)&amp;MID(I901,2,3)+1),CELL("address",AA901))</f>
        <v>G903</v>
      </c>
      <c r="K901" s="98" t="str">
        <f ca="1">IF(J900&gt;=5,(MID(J901,1,1)&amp;MID(J901,2,3)+1),CELL("address",AB901))</f>
        <v>$AB$901</v>
      </c>
      <c r="L901" s="98" t="str">
        <f ca="1">IF(J900&gt;=6,(MID(K901,1,1)&amp;MID(K901,2,3)+1),CELL("address",AC901))</f>
        <v>$AC$901</v>
      </c>
      <c r="M901" s="98" t="str">
        <f ca="1">IF(J900&gt;=7,(MID(L901,1,1)&amp;MID(L901,2,3)+1),CELL("address",AD901))</f>
        <v>$AD$901</v>
      </c>
      <c r="N901" s="98" t="str">
        <f ca="1">IF(J900&gt;=8,(MID(M901,1,1)&amp;MID(M901,2,3)+1),CELL("address",AE901))</f>
        <v>$AE$901</v>
      </c>
      <c r="O901" s="98" t="str">
        <f ca="1">IF(J900&gt;=9,(MID(N901,1,1)&amp;MID(N901,2,3)+1),CELL("address",AF901))</f>
        <v>$AF$901</v>
      </c>
      <c r="P901" s="98" t="str">
        <f ca="1">IF(J900&gt;=10,(MID(O901,1,1)&amp;MID(O901,2,3)+1),CELL("address",AG901))</f>
        <v>$AG$901</v>
      </c>
      <c r="Q901" s="98" t="str">
        <f ca="1">IF(J900&gt;=11,(MID(P901,1,1)&amp;MID(P901,2,3)+1),CELL("address",AH901))</f>
        <v>$AH$901</v>
      </c>
      <c r="R901" s="98" t="str">
        <f ca="1">IF(J900&gt;=12,(MID(Q901,1,1)&amp;MID(Q901,2,3)+1),CELL("address",AI901))</f>
        <v>$AI$901</v>
      </c>
    </row>
    <row r="902" spans="1:15" ht="15" customHeight="1">
      <c r="A902" s="329"/>
      <c r="B902" s="329"/>
      <c r="C902" s="327"/>
      <c r="D902" s="34" t="s">
        <v>64</v>
      </c>
      <c r="E902" s="288">
        <v>0.515</v>
      </c>
      <c r="F902" s="98">
        <v>0.03</v>
      </c>
      <c r="G902" s="92" t="str">
        <f>CONCATENATE(D902," - ",E902,", ")</f>
        <v>Teen Patra scrap - 0.515, </v>
      </c>
      <c r="H902" s="426"/>
      <c r="I902" s="98"/>
      <c r="J902" s="98"/>
      <c r="K902" s="98"/>
      <c r="L902" s="98"/>
      <c r="M902" s="98"/>
      <c r="N902" s="98"/>
      <c r="O902" s="98"/>
    </row>
    <row r="903" spans="1:15" ht="15" customHeight="1">
      <c r="A903" s="39"/>
      <c r="B903" s="41"/>
      <c r="C903" s="48"/>
      <c r="D903" s="191"/>
      <c r="E903" s="58"/>
      <c r="F903" s="98"/>
      <c r="G903" s="98"/>
      <c r="H903" s="426"/>
      <c r="I903" s="98"/>
      <c r="J903" s="98"/>
      <c r="K903" s="98"/>
      <c r="L903" s="98"/>
      <c r="M903" s="98"/>
      <c r="N903" s="98"/>
      <c r="O903" s="98"/>
    </row>
    <row r="904" spans="1:15" ht="15" customHeight="1">
      <c r="A904" s="53"/>
      <c r="B904" s="54"/>
      <c r="C904" s="54"/>
      <c r="D904" s="55"/>
      <c r="E904" s="163">
        <f>SUM(E906:E910)</f>
        <v>7.239</v>
      </c>
      <c r="F904" s="98"/>
      <c r="G904" s="98"/>
      <c r="H904" s="426"/>
      <c r="I904" s="98"/>
      <c r="J904" s="98"/>
      <c r="K904" s="98"/>
      <c r="L904" s="98"/>
      <c r="M904" s="98"/>
      <c r="N904" s="98"/>
      <c r="O904" s="98"/>
    </row>
    <row r="905" spans="1:18" ht="15" customHeight="1">
      <c r="A905" s="329" t="s">
        <v>5</v>
      </c>
      <c r="B905" s="329"/>
      <c r="C905" s="40" t="s">
        <v>17</v>
      </c>
      <c r="D905" s="212" t="s">
        <v>18</v>
      </c>
      <c r="E905" s="39" t="s">
        <v>7</v>
      </c>
      <c r="F905" s="98"/>
      <c r="G905" s="93" t="str">
        <f>CONCATENATE("Misc. Iron Scrap, Lying at ",C906,". Quantity in MT - ")</f>
        <v>Misc. Iron Scrap, Lying at OL Ropar. Quantity in MT - </v>
      </c>
      <c r="H905" s="427" t="str">
        <f ca="1">CONCATENATE(G905,G906,(INDIRECT(I906)),(INDIRECT(J906)),(INDIRECT(K906)),(INDIRECT(L906)),(INDIRECT(M906)),(INDIRECT(N906)),(INDIRECT(O906)),(INDIRECT(P906)),(INDIRECT(Q906)),(INDIRECT(R906)),".")</f>
        <v>Misc. Iron Scrap, Lying at OL Ropar. Quantity in MT - MS iron scrap - 3.454, MS Rail scrap - 1.085, Transformer body scrap - 2.468, G.I. Scrap - 0.167, Teen Patra scrap - 0.065, .</v>
      </c>
      <c r="I905" s="98" t="str">
        <f aca="true" ca="1" t="array" ref="I905">CELL("address",INDEX(G905:G942,MATCH(TRUE,ISBLANK(G905:G942),0)))</f>
        <v>$G$911</v>
      </c>
      <c r="J905" s="98">
        <f aca="true" t="array" ref="J905">MATCH(TRUE,ISBLANK(G905:G942),0)</f>
        <v>7</v>
      </c>
      <c r="K905" s="98">
        <f>J905-3</f>
        <v>4</v>
      </c>
      <c r="L905" s="98"/>
      <c r="M905" s="98"/>
      <c r="N905" s="98"/>
      <c r="O905" s="98"/>
      <c r="P905" s="98"/>
      <c r="Q905" s="98"/>
      <c r="R905" s="98"/>
    </row>
    <row r="906" spans="1:18" ht="15" customHeight="1">
      <c r="A906" s="328" t="s">
        <v>498</v>
      </c>
      <c r="B906" s="328"/>
      <c r="C906" s="327" t="s">
        <v>98</v>
      </c>
      <c r="D906" s="316" t="s">
        <v>29</v>
      </c>
      <c r="E906" s="315">
        <v>3.454</v>
      </c>
      <c r="F906" s="196">
        <v>1.384</v>
      </c>
      <c r="G906" s="92" t="str">
        <f>CONCATENATE(D906," - ",E906,", ")</f>
        <v>MS iron scrap - 3.454, </v>
      </c>
      <c r="H906" s="427"/>
      <c r="I906" s="98" t="str">
        <f ca="1">IF(J905&gt;=3,(MID(I905,2,1)&amp;MID(I905,4,3)-K905),CELL("address",Z906))</f>
        <v>G907</v>
      </c>
      <c r="J906" s="98" t="str">
        <f ca="1">IF(J905&gt;=4,(MID(I906,1,1)&amp;MID(I906,2,3)+1),CELL("address",AA906))</f>
        <v>G908</v>
      </c>
      <c r="K906" s="98" t="str">
        <f ca="1">IF(J905&gt;=5,(MID(J906,1,1)&amp;MID(J906,2,3)+1),CELL("address",AB906))</f>
        <v>G909</v>
      </c>
      <c r="L906" s="98" t="str">
        <f ca="1">IF(J905&gt;=6,(MID(K906,1,1)&amp;MID(K906,2,3)+1),CELL("address",AC906))</f>
        <v>G910</v>
      </c>
      <c r="M906" s="98" t="str">
        <f ca="1">IF(J905&gt;=7,(MID(L906,1,1)&amp;MID(L906,2,3)+1),CELL("address",AD906))</f>
        <v>G911</v>
      </c>
      <c r="N906" s="98" t="str">
        <f ca="1">IF(J905&gt;=8,(MID(M906,1,1)&amp;MID(M906,2,3)+1),CELL("address",AE906))</f>
        <v>$AE$906</v>
      </c>
      <c r="O906" s="98" t="str">
        <f ca="1">IF(J905&gt;=9,(MID(N906,1,1)&amp;MID(N906,2,3)+1),CELL("address",AF906))</f>
        <v>$AF$906</v>
      </c>
      <c r="P906" s="98" t="str">
        <f ca="1">IF(J905&gt;=10,(MID(O906,1,1)&amp;MID(O906,2,3)+1),CELL("address",AG906))</f>
        <v>$AG$906</v>
      </c>
      <c r="Q906" s="98" t="str">
        <f ca="1">IF(J905&gt;=11,(MID(P906,1,1)&amp;MID(P906,2,3)+1),CELL("address",AH906))</f>
        <v>$AH$906</v>
      </c>
      <c r="R906" s="98" t="str">
        <f ca="1">IF(J905&gt;=12,(MID(Q906,1,1)&amp;MID(Q906,2,3)+1),CELL("address",AI906))</f>
        <v>$AI$906</v>
      </c>
    </row>
    <row r="907" spans="1:15" ht="15" customHeight="1">
      <c r="A907" s="328"/>
      <c r="B907" s="328"/>
      <c r="C907" s="327"/>
      <c r="D907" s="316" t="s">
        <v>61</v>
      </c>
      <c r="E907" s="315">
        <v>1.085</v>
      </c>
      <c r="F907" s="196">
        <v>0.177</v>
      </c>
      <c r="G907" s="92" t="str">
        <f>CONCATENATE(D907," - ",E907,", ")</f>
        <v>MS Rail scrap - 1.085, </v>
      </c>
      <c r="H907" s="426"/>
      <c r="I907" s="98"/>
      <c r="J907" s="98"/>
      <c r="K907" s="98"/>
      <c r="L907" s="98"/>
      <c r="M907" s="98"/>
      <c r="N907" s="98"/>
      <c r="O907" s="98"/>
    </row>
    <row r="908" spans="1:15" ht="15" customHeight="1">
      <c r="A908" s="328"/>
      <c r="B908" s="328"/>
      <c r="C908" s="327"/>
      <c r="D908" s="281" t="s">
        <v>60</v>
      </c>
      <c r="E908" s="318">
        <v>2.468</v>
      </c>
      <c r="F908" s="196">
        <v>1.409</v>
      </c>
      <c r="G908" s="92" t="str">
        <f>CONCATENATE(D908," - ",E908,", ")</f>
        <v>Transformer body scrap - 2.468, </v>
      </c>
      <c r="H908" s="426"/>
      <c r="I908" s="98"/>
      <c r="J908" s="98"/>
      <c r="K908" s="98"/>
      <c r="L908" s="98"/>
      <c r="M908" s="98"/>
      <c r="N908" s="98"/>
      <c r="O908" s="98"/>
    </row>
    <row r="909" spans="1:15" ht="15" customHeight="1">
      <c r="A909" s="328"/>
      <c r="B909" s="328"/>
      <c r="C909" s="327"/>
      <c r="D909" s="281" t="s">
        <v>198</v>
      </c>
      <c r="E909" s="318">
        <v>0.167</v>
      </c>
      <c r="F909" s="196">
        <v>0.087</v>
      </c>
      <c r="G909" s="92" t="str">
        <f>CONCATENATE(D909," - ",E909,", ")</f>
        <v>G.I. Scrap - 0.167, </v>
      </c>
      <c r="H909" s="426"/>
      <c r="I909" s="98"/>
      <c r="J909" s="98"/>
      <c r="K909" s="98"/>
      <c r="L909" s="98"/>
      <c r="M909" s="98"/>
      <c r="N909" s="98"/>
      <c r="O909" s="98"/>
    </row>
    <row r="910" spans="1:15" ht="15" customHeight="1">
      <c r="A910" s="328"/>
      <c r="B910" s="328"/>
      <c r="C910" s="327"/>
      <c r="D910" s="34" t="s">
        <v>64</v>
      </c>
      <c r="E910" s="318">
        <v>0.065</v>
      </c>
      <c r="F910" s="196" t="s">
        <v>681</v>
      </c>
      <c r="G910" s="92" t="str">
        <f>CONCATENATE(D910," - ",E910,", ")</f>
        <v>Teen Patra scrap - 0.065, </v>
      </c>
      <c r="H910" s="426"/>
      <c r="I910" s="98"/>
      <c r="J910" s="98"/>
      <c r="K910" s="98"/>
      <c r="L910" s="98"/>
      <c r="M910" s="98"/>
      <c r="N910" s="98"/>
      <c r="O910" s="98"/>
    </row>
    <row r="911" spans="1:15" ht="15" customHeight="1">
      <c r="A911" s="39"/>
      <c r="B911" s="41"/>
      <c r="C911" s="48"/>
      <c r="D911" s="38"/>
      <c r="E911" s="179"/>
      <c r="F911" s="98"/>
      <c r="G911" s="98"/>
      <c r="H911" s="426"/>
      <c r="I911" s="98"/>
      <c r="J911" s="98"/>
      <c r="K911" s="98"/>
      <c r="L911" s="98"/>
      <c r="M911" s="98"/>
      <c r="N911" s="98"/>
      <c r="O911" s="98"/>
    </row>
    <row r="912" spans="1:8" ht="18.75" customHeight="1">
      <c r="A912" s="53"/>
      <c r="B912" s="54"/>
      <c r="C912" s="54"/>
      <c r="D912" s="55"/>
      <c r="E912" s="163">
        <f>SUM(E914:E917)</f>
        <v>4.318</v>
      </c>
      <c r="H912" s="1"/>
    </row>
    <row r="913" spans="1:18" ht="15" customHeight="1">
      <c r="A913" s="329" t="s">
        <v>5</v>
      </c>
      <c r="B913" s="329"/>
      <c r="C913" s="40" t="s">
        <v>17</v>
      </c>
      <c r="D913" s="212" t="s">
        <v>18</v>
      </c>
      <c r="E913" s="39" t="s">
        <v>7</v>
      </c>
      <c r="G913" s="93" t="str">
        <f>CONCATENATE("Misc. Iron Scrap, Lying at ",C914,". Quantity in MT - ")</f>
        <v>Misc. Iron Scrap, Lying at OL Nabha. Quantity in MT - </v>
      </c>
      <c r="H913" s="427" t="str">
        <f ca="1">CONCATENATE(G913,G914,(INDIRECT(I914)),(INDIRECT(J914)),(INDIRECT(K914)),(INDIRECT(L914)),(INDIRECT(M914)),(INDIRECT(N914)),(INDIRECT(O914)),(INDIRECT(P914)),(INDIRECT(Q914)),(INDIRECT(R914)),".")</f>
        <v>Misc. Iron Scrap, Lying at OL Nabha. Quantity in MT - MS iron scrap - 2.442, Transformer body scrap - 1.375, Lamination scrap - 0.459, Teen Patra scrap - 0.042, .</v>
      </c>
      <c r="I913" s="98" t="str">
        <f aca="true" ca="1" t="array" ref="I913">CELL("address",INDEX(G913:G948,MATCH(TRUE,ISBLANK(G913:G948),0)))</f>
        <v>$G$918</v>
      </c>
      <c r="J913" s="98">
        <f aca="true" t="array" ref="J913">MATCH(TRUE,ISBLANK(G913:G948),0)</f>
        <v>6</v>
      </c>
      <c r="K913" s="98">
        <f>J913-3</f>
        <v>3</v>
      </c>
      <c r="L913" s="98"/>
      <c r="M913" s="98"/>
      <c r="N913" s="98"/>
      <c r="O913" s="98"/>
      <c r="P913" s="98"/>
      <c r="Q913" s="98"/>
      <c r="R913" s="98"/>
    </row>
    <row r="914" spans="1:18" ht="15" customHeight="1">
      <c r="A914" s="328" t="s">
        <v>530</v>
      </c>
      <c r="B914" s="328"/>
      <c r="C914" s="327" t="s">
        <v>104</v>
      </c>
      <c r="D914" s="283" t="s">
        <v>29</v>
      </c>
      <c r="E914" s="304">
        <v>2.442</v>
      </c>
      <c r="F914" s="1">
        <v>1.675</v>
      </c>
      <c r="G914" s="92" t="str">
        <f>CONCATENATE(D914," - ",E914,", ")</f>
        <v>MS iron scrap - 2.442, </v>
      </c>
      <c r="H914" s="427"/>
      <c r="I914" s="98" t="str">
        <f ca="1">IF(J913&gt;=3,(MID(I913,2,1)&amp;MID(I913,4,3)-K913),CELL("address",Z914))</f>
        <v>G915</v>
      </c>
      <c r="J914" s="98" t="str">
        <f ca="1">IF(J913&gt;=4,(MID(I914,1,1)&amp;MID(I914,2,3)+1),CELL("address",AA914))</f>
        <v>G916</v>
      </c>
      <c r="K914" s="98" t="str">
        <f ca="1">IF(J913&gt;=5,(MID(J914,1,1)&amp;MID(J914,2,3)+1),CELL("address",AB914))</f>
        <v>G917</v>
      </c>
      <c r="L914" s="98" t="str">
        <f ca="1">IF(J913&gt;=6,(MID(K914,1,1)&amp;MID(K914,2,3)+1),CELL("address",AC914))</f>
        <v>G918</v>
      </c>
      <c r="M914" s="98" t="str">
        <f ca="1">IF(J913&gt;=7,(MID(L914,1,1)&amp;MID(L914,2,3)+1),CELL("address",AD914))</f>
        <v>$AD$914</v>
      </c>
      <c r="N914" s="98" t="str">
        <f ca="1">IF(J913&gt;=8,(MID(M914,1,1)&amp;MID(M914,2,3)+1),CELL("address",AE914))</f>
        <v>$AE$914</v>
      </c>
      <c r="O914" s="98" t="str">
        <f ca="1">IF(J913&gt;=9,(MID(N914,1,1)&amp;MID(N914,2,3)+1),CELL("address",AF914))</f>
        <v>$AF$914</v>
      </c>
      <c r="P914" s="98" t="str">
        <f ca="1">IF(J913&gt;=10,(MID(O914,1,1)&amp;MID(O914,2,3)+1),CELL("address",AG914))</f>
        <v>$AG$914</v>
      </c>
      <c r="Q914" s="98" t="str">
        <f ca="1">IF(J913&gt;=11,(MID(P914,1,1)&amp;MID(P914,2,3)+1),CELL("address",AH914))</f>
        <v>$AH$914</v>
      </c>
      <c r="R914" s="98" t="str">
        <f ca="1">IF(J913&gt;=12,(MID(Q914,1,1)&amp;MID(Q914,2,3)+1),CELL("address",AI914))</f>
        <v>$AI$914</v>
      </c>
    </row>
    <row r="915" spans="1:8" ht="15" customHeight="1">
      <c r="A915" s="328"/>
      <c r="B915" s="328"/>
      <c r="C915" s="327"/>
      <c r="D915" s="281" t="s">
        <v>60</v>
      </c>
      <c r="E915" s="304">
        <v>1.375</v>
      </c>
      <c r="F915" s="1">
        <v>0.559</v>
      </c>
      <c r="G915" s="92" t="str">
        <f>CONCATENATE(D915," - ",E915,", ")</f>
        <v>Transformer body scrap - 1.375, </v>
      </c>
      <c r="H915" s="1"/>
    </row>
    <row r="916" spans="1:8" ht="15" customHeight="1">
      <c r="A916" s="328"/>
      <c r="B916" s="328"/>
      <c r="C916" s="327"/>
      <c r="D916" s="34" t="s">
        <v>529</v>
      </c>
      <c r="E916" s="179">
        <v>0.459</v>
      </c>
      <c r="F916" s="1">
        <v>0.267</v>
      </c>
      <c r="G916" s="92" t="str">
        <f>CONCATENATE(D916," - ",E916,", ")</f>
        <v>Lamination scrap - 0.459, </v>
      </c>
      <c r="H916" s="1"/>
    </row>
    <row r="917" spans="1:8" ht="15" customHeight="1">
      <c r="A917" s="328"/>
      <c r="B917" s="328"/>
      <c r="C917" s="327"/>
      <c r="D917" s="34" t="s">
        <v>64</v>
      </c>
      <c r="E917" s="179">
        <v>0.042</v>
      </c>
      <c r="F917" s="1" t="s">
        <v>681</v>
      </c>
      <c r="G917" s="92" t="str">
        <f>CONCATENATE(D917," - ",E917,", ")</f>
        <v>Teen Patra scrap - 0.042, </v>
      </c>
      <c r="H917" s="1"/>
    </row>
    <row r="918" spans="1:8" ht="15" customHeight="1">
      <c r="A918" s="205"/>
      <c r="B918" s="207"/>
      <c r="C918" s="48"/>
      <c r="D918" s="38"/>
      <c r="E918" s="179"/>
      <c r="G918" s="203"/>
      <c r="H918" s="1"/>
    </row>
    <row r="919" spans="1:8" ht="15" customHeight="1">
      <c r="A919" s="53"/>
      <c r="B919" s="54"/>
      <c r="C919" s="54"/>
      <c r="D919" s="55"/>
      <c r="E919" s="163">
        <f>SUM(E921:E921)</f>
        <v>19</v>
      </c>
      <c r="G919" s="203"/>
      <c r="H919" s="1"/>
    </row>
    <row r="920" spans="1:18" ht="15" customHeight="1">
      <c r="A920" s="329" t="s">
        <v>5</v>
      </c>
      <c r="B920" s="329"/>
      <c r="C920" s="40" t="s">
        <v>17</v>
      </c>
      <c r="D920" s="212" t="s">
        <v>18</v>
      </c>
      <c r="E920" s="39" t="s">
        <v>7</v>
      </c>
      <c r="G920" s="93" t="str">
        <f>CONCATENATE("Misc. Iron Scrap, Lying at ",C921,". Quantity in MT - ")</f>
        <v>Misc. Iron Scrap, Lying at S &amp; T Store Bathinda. Quantity in MT - </v>
      </c>
      <c r="H920" s="427" t="str">
        <f ca="1">CONCATENATE(G920,G921,(INDIRECT(I921)),(INDIRECT(J921)),(INDIRECT(K921)),(INDIRECT(L921)),(INDIRECT(M921)),(INDIRECT(N921)),(INDIRECT(O921)),(INDIRECT(P921)),(INDIRECT(Q921)),(INDIRECT(R921)),".")</f>
        <v>Misc. Iron Scrap, Lying at S &amp; T Store Bathinda. Quantity in MT - MS iron scrap - 19, .</v>
      </c>
      <c r="I920" s="98" t="str">
        <f aca="true" ca="1" t="array" ref="I920">CELL("address",INDEX(G920:G955,MATCH(TRUE,ISBLANK(G920:G955),0)))</f>
        <v>$G$922</v>
      </c>
      <c r="J920" s="98">
        <f aca="true" t="array" ref="J920">MATCH(TRUE,ISBLANK(G920:G955),0)</f>
        <v>3</v>
      </c>
      <c r="K920" s="98">
        <f>J920-3</f>
        <v>0</v>
      </c>
      <c r="L920" s="98"/>
      <c r="M920" s="98"/>
      <c r="N920" s="98"/>
      <c r="O920" s="98"/>
      <c r="P920" s="98"/>
      <c r="Q920" s="98"/>
      <c r="R920" s="98"/>
    </row>
    <row r="921" spans="1:18" ht="15" customHeight="1">
      <c r="A921" s="329" t="s">
        <v>597</v>
      </c>
      <c r="B921" s="329"/>
      <c r="C921" s="212" t="s">
        <v>57</v>
      </c>
      <c r="D921" s="42" t="s">
        <v>29</v>
      </c>
      <c r="E921" s="69">
        <v>19</v>
      </c>
      <c r="G921" s="92" t="str">
        <f>CONCATENATE(D921," - ",E921,", ")</f>
        <v>MS iron scrap - 19, </v>
      </c>
      <c r="H921" s="427"/>
      <c r="I921" s="98" t="str">
        <f ca="1">IF(J920&gt;=3,(MID(I920,2,1)&amp;MID(I920,4,3)-K920),CELL("address",Z921))</f>
        <v>G922</v>
      </c>
      <c r="J921" s="98" t="str">
        <f ca="1">IF(J920&gt;=4,(MID(I921,1,1)&amp;MID(I921,2,3)+1),CELL("address",AA921))</f>
        <v>$AA$921</v>
      </c>
      <c r="K921" s="98" t="str">
        <f ca="1">IF(J920&gt;=5,(MID(J921,1,1)&amp;MID(J921,2,3)+1),CELL("address",AB921))</f>
        <v>$AB$921</v>
      </c>
      <c r="L921" s="98" t="str">
        <f ca="1">IF(J920&gt;=6,(MID(K921,1,1)&amp;MID(K921,2,3)+1),CELL("address",AC921))</f>
        <v>$AC$921</v>
      </c>
      <c r="M921" s="98" t="str">
        <f ca="1">IF(J920&gt;=7,(MID(L921,1,1)&amp;MID(L921,2,3)+1),CELL("address",AD921))</f>
        <v>$AD$921</v>
      </c>
      <c r="N921" s="98" t="str">
        <f ca="1">IF(J920&gt;=8,(MID(M921,1,1)&amp;MID(M921,2,3)+1),CELL("address",AE921))</f>
        <v>$AE$921</v>
      </c>
      <c r="O921" s="98" t="str">
        <f ca="1">IF(J920&gt;=9,(MID(N921,1,1)&amp;MID(N921,2,3)+1),CELL("address",AF921))</f>
        <v>$AF$921</v>
      </c>
      <c r="P921" s="98" t="str">
        <f ca="1">IF(J920&gt;=10,(MID(O921,1,1)&amp;MID(O921,2,3)+1),CELL("address",AG921))</f>
        <v>$AG$921</v>
      </c>
      <c r="Q921" s="98" t="str">
        <f ca="1">IF(J920&gt;=11,(MID(P921,1,1)&amp;MID(P921,2,3)+1),CELL("address",AH921))</f>
        <v>$AH$921</v>
      </c>
      <c r="R921" s="98" t="str">
        <f ca="1">IF(J920&gt;=12,(MID(Q921,1,1)&amp;MID(Q921,2,3)+1),CELL("address",AI921))</f>
        <v>$AI$921</v>
      </c>
    </row>
    <row r="922" spans="1:18" ht="15" customHeight="1">
      <c r="A922" s="39"/>
      <c r="B922" s="41"/>
      <c r="C922" s="48"/>
      <c r="D922" s="41"/>
      <c r="E922" s="58"/>
      <c r="G922" s="203"/>
      <c r="H922" s="428"/>
      <c r="I922" s="98"/>
      <c r="J922" s="98"/>
      <c r="K922" s="98"/>
      <c r="L922" s="98"/>
      <c r="M922" s="98"/>
      <c r="N922" s="98"/>
      <c r="O922" s="98"/>
      <c r="P922" s="98"/>
      <c r="Q922" s="98"/>
      <c r="R922" s="98"/>
    </row>
    <row r="923" spans="1:18" ht="15" customHeight="1">
      <c r="A923" s="53"/>
      <c r="B923" s="54"/>
      <c r="C923" s="54"/>
      <c r="D923" s="55"/>
      <c r="E923" s="163">
        <f>SUM(E925:E926)</f>
        <v>105</v>
      </c>
      <c r="G923" s="203"/>
      <c r="H923" s="428"/>
      <c r="I923" s="98"/>
      <c r="J923" s="98"/>
      <c r="K923" s="98"/>
      <c r="L923" s="98"/>
      <c r="M923" s="98"/>
      <c r="N923" s="98"/>
      <c r="O923" s="98"/>
      <c r="P923" s="98"/>
      <c r="Q923" s="98"/>
      <c r="R923" s="98"/>
    </row>
    <row r="924" spans="1:18" ht="15" customHeight="1">
      <c r="A924" s="329" t="s">
        <v>5</v>
      </c>
      <c r="B924" s="329"/>
      <c r="C924" s="40" t="s">
        <v>17</v>
      </c>
      <c r="D924" s="229" t="s">
        <v>18</v>
      </c>
      <c r="E924" s="39" t="s">
        <v>69</v>
      </c>
      <c r="G924" s="93" t="str">
        <f>CONCATENATE("U/S Typewriters and U/S Ceiling Fans, Lying at ",C925,". Quantity in No - ")</f>
        <v>U/S Typewriters and U/S Ceiling Fans, Lying at CS Patiala. Quantity in No - </v>
      </c>
      <c r="H924" s="427" t="str">
        <f ca="1">CONCATENATE(G924,G925,(INDIRECT(I925)),(INDIRECT(J925)),(INDIRECT(K925)),(INDIRECT(L925)),(INDIRECT(M925)),(INDIRECT(N925)),(INDIRECT(O925)),(INDIRECT(P925)),(INDIRECT(Q925)),(INDIRECT(R925)),".")</f>
        <v>U/S Typewriters and U/S Ceiling Fans, Lying at CS Patiala. Quantity in No - U/S Typewriters - 64, U/S Ceiling Fans - 41, .</v>
      </c>
      <c r="I924" s="98" t="str">
        <f aca="true" ca="1" t="array" ref="I924">CELL("address",INDEX(G924:G959,MATCH(TRUE,ISBLANK(G924:G959),0)))</f>
        <v>$G$927</v>
      </c>
      <c r="J924" s="98">
        <f aca="true" t="array" ref="J924">MATCH(TRUE,ISBLANK(G924:G959),0)</f>
        <v>4</v>
      </c>
      <c r="K924" s="98">
        <f>J924-3</f>
        <v>1</v>
      </c>
      <c r="L924" s="98"/>
      <c r="M924" s="98"/>
      <c r="N924" s="98"/>
      <c r="O924" s="98"/>
      <c r="P924" s="98"/>
      <c r="Q924" s="98"/>
      <c r="R924" s="98"/>
    </row>
    <row r="925" spans="1:18" ht="15" customHeight="1">
      <c r="A925" s="329" t="s">
        <v>643</v>
      </c>
      <c r="B925" s="329"/>
      <c r="C925" s="327" t="s">
        <v>52</v>
      </c>
      <c r="D925" s="40" t="s">
        <v>641</v>
      </c>
      <c r="E925" s="58">
        <v>64</v>
      </c>
      <c r="G925" s="92" t="str">
        <f>CONCATENATE(D925," - ",E925,", ")</f>
        <v>U/S Typewriters - 64, </v>
      </c>
      <c r="H925" s="427"/>
      <c r="I925" s="98" t="str">
        <f ca="1">IF(J924&gt;=3,(MID(I924,2,1)&amp;MID(I924,4,3)-K924),CELL("address",Z925))</f>
        <v>G926</v>
      </c>
      <c r="J925" s="98" t="str">
        <f ca="1">IF(J924&gt;=4,(MID(I925,1,1)&amp;MID(I925,2,3)+1),CELL("address",AA925))</f>
        <v>G927</v>
      </c>
      <c r="K925" s="98" t="str">
        <f ca="1">IF(J924&gt;=5,(MID(J925,1,1)&amp;MID(J925,2,3)+1),CELL("address",AB925))</f>
        <v>$AB$925</v>
      </c>
      <c r="L925" s="98" t="str">
        <f ca="1">IF(J924&gt;=6,(MID(K925,1,1)&amp;MID(K925,2,3)+1),CELL("address",AC925))</f>
        <v>$AC$925</v>
      </c>
      <c r="M925" s="98" t="str">
        <f ca="1">IF(J924&gt;=7,(MID(L925,1,1)&amp;MID(L925,2,3)+1),CELL("address",AD925))</f>
        <v>$AD$925</v>
      </c>
      <c r="N925" s="98" t="str">
        <f ca="1">IF(J924&gt;=8,(MID(M925,1,1)&amp;MID(M925,2,3)+1),CELL("address",AE925))</f>
        <v>$AE$925</v>
      </c>
      <c r="O925" s="98" t="str">
        <f ca="1">IF(J924&gt;=9,(MID(N925,1,1)&amp;MID(N925,2,3)+1),CELL("address",AF925))</f>
        <v>$AF$925</v>
      </c>
      <c r="P925" s="98" t="str">
        <f ca="1">IF(J924&gt;=10,(MID(O925,1,1)&amp;MID(O925,2,3)+1),CELL("address",AG925))</f>
        <v>$AG$925</v>
      </c>
      <c r="Q925" s="98" t="str">
        <f ca="1">IF(J924&gt;=11,(MID(P925,1,1)&amp;MID(P925,2,3)+1),CELL("address",AH925))</f>
        <v>$AH$925</v>
      </c>
      <c r="R925" s="98" t="str">
        <f ca="1">IF(J924&gt;=12,(MID(Q925,1,1)&amp;MID(Q925,2,3)+1),CELL("address",AI925))</f>
        <v>$AI$925</v>
      </c>
    </row>
    <row r="926" spans="1:18" ht="15" customHeight="1">
      <c r="A926" s="329"/>
      <c r="B926" s="329"/>
      <c r="C926" s="327"/>
      <c r="D926" s="40" t="s">
        <v>646</v>
      </c>
      <c r="E926" s="58">
        <v>41</v>
      </c>
      <c r="G926" s="92" t="str">
        <f>CONCATENATE(D926," - ",E926,", ")</f>
        <v>U/S Ceiling Fans - 41, </v>
      </c>
      <c r="H926" s="428"/>
      <c r="I926" s="98"/>
      <c r="J926" s="98"/>
      <c r="K926" s="98"/>
      <c r="L926" s="98"/>
      <c r="M926" s="98"/>
      <c r="N926" s="98"/>
      <c r="O926" s="98"/>
      <c r="P926" s="98"/>
      <c r="Q926" s="98"/>
      <c r="R926" s="98"/>
    </row>
    <row r="927" spans="1:18" ht="15" customHeight="1">
      <c r="A927" s="39"/>
      <c r="B927" s="41"/>
      <c r="C927" s="48"/>
      <c r="D927" s="41"/>
      <c r="E927" s="58"/>
      <c r="G927" s="203"/>
      <c r="H927" s="428"/>
      <c r="I927" s="98"/>
      <c r="J927" s="98"/>
      <c r="K927" s="98"/>
      <c r="L927" s="98"/>
      <c r="M927" s="98"/>
      <c r="N927" s="98"/>
      <c r="O927" s="98"/>
      <c r="P927" s="98"/>
      <c r="Q927" s="98"/>
      <c r="R927" s="98"/>
    </row>
    <row r="928" spans="1:18" ht="15" customHeight="1">
      <c r="A928" s="53"/>
      <c r="B928" s="54"/>
      <c r="C928" s="54"/>
      <c r="D928" s="56"/>
      <c r="E928" s="57">
        <f>SUM(E930:E930)</f>
        <v>1</v>
      </c>
      <c r="G928" s="203"/>
      <c r="H928" s="428"/>
      <c r="I928" s="98"/>
      <c r="J928" s="98"/>
      <c r="K928" s="98"/>
      <c r="L928" s="98"/>
      <c r="M928" s="98"/>
      <c r="N928" s="98"/>
      <c r="O928" s="98"/>
      <c r="P928" s="98"/>
      <c r="Q928" s="98"/>
      <c r="R928" s="98"/>
    </row>
    <row r="929" spans="1:18" ht="15" customHeight="1">
      <c r="A929" s="340" t="s">
        <v>5</v>
      </c>
      <c r="B929" s="340"/>
      <c r="C929" s="70" t="s">
        <v>17</v>
      </c>
      <c r="D929" s="276" t="s">
        <v>18</v>
      </c>
      <c r="E929" s="39" t="s">
        <v>69</v>
      </c>
      <c r="G929" s="93" t="str">
        <f>CONCATENATE("U/S Tyres, Lying at ",C930,". Quantity in No - ")</f>
        <v>U/S Tyres, Lying at OL Patran. Quantity in No - </v>
      </c>
      <c r="H929" s="427" t="str">
        <f ca="1">CONCATENATE(G929,G930,(INDIRECT(I930)),(INDIRECT(J930)),(INDIRECT(K930)),(INDIRECT(L930)),(INDIRECT(M930)),(INDIRECT(N930)),(INDIRECT(O930)),(INDIRECT(P930)),(INDIRECT(Q930)),(INDIRECT(R930)),".")</f>
        <v>U/S Tyres, Lying at OL Patran. Quantity in No - U/S Tyres - 1, .</v>
      </c>
      <c r="I929" s="98" t="str">
        <f aca="true" ca="1" t="array" ref="I929">CELL("address",INDEX(G929:G964,MATCH(TRUE,ISBLANK(G929:G964),0)))</f>
        <v>$G$931</v>
      </c>
      <c r="J929" s="98">
        <f aca="true" t="array" ref="J929">MATCH(TRUE,ISBLANK(G929:G964),0)</f>
        <v>3</v>
      </c>
      <c r="K929" s="98">
        <f>J929-3</f>
        <v>0</v>
      </c>
      <c r="L929" s="98"/>
      <c r="M929" s="98"/>
      <c r="N929" s="98"/>
      <c r="O929" s="98"/>
      <c r="P929" s="98"/>
      <c r="Q929" s="98"/>
      <c r="R929" s="98"/>
    </row>
    <row r="930" spans="1:18" ht="15" customHeight="1">
      <c r="A930" s="329" t="s">
        <v>694</v>
      </c>
      <c r="B930" s="329"/>
      <c r="C930" s="276" t="s">
        <v>102</v>
      </c>
      <c r="D930" s="283" t="s">
        <v>376</v>
      </c>
      <c r="E930" s="288">
        <v>1</v>
      </c>
      <c r="F930" s="1" t="s">
        <v>681</v>
      </c>
      <c r="G930" s="92" t="str">
        <f>CONCATENATE(D930," - ",E930,", ")</f>
        <v>U/S Tyres - 1, </v>
      </c>
      <c r="H930" s="427"/>
      <c r="I930" s="98" t="str">
        <f ca="1">IF(J929&gt;=3,(MID(I929,2,1)&amp;MID(I929,4,3)-K929),CELL("address",Z930))</f>
        <v>G931</v>
      </c>
      <c r="J930" s="98" t="str">
        <f ca="1">IF(J929&gt;=4,(MID(I930,1,1)&amp;MID(I930,2,3)+1),CELL("address",AA930))</f>
        <v>$AA$930</v>
      </c>
      <c r="K930" s="98" t="str">
        <f ca="1">IF(J929&gt;=5,(MID(J930,1,1)&amp;MID(J930,2,3)+1),CELL("address",AB930))</f>
        <v>$AB$930</v>
      </c>
      <c r="L930" s="98" t="str">
        <f ca="1">IF(J929&gt;=6,(MID(K930,1,1)&amp;MID(K930,2,3)+1),CELL("address",AC930))</f>
        <v>$AC$930</v>
      </c>
      <c r="M930" s="98" t="str">
        <f ca="1">IF(J929&gt;=7,(MID(L930,1,1)&amp;MID(L930,2,3)+1),CELL("address",AD930))</f>
        <v>$AD$930</v>
      </c>
      <c r="N930" s="98" t="str">
        <f ca="1">IF(J929&gt;=8,(MID(M930,1,1)&amp;MID(M930,2,3)+1),CELL("address",AE930))</f>
        <v>$AE$930</v>
      </c>
      <c r="O930" s="98" t="str">
        <f ca="1">IF(J929&gt;=9,(MID(N930,1,1)&amp;MID(N930,2,3)+1),CELL("address",AF930))</f>
        <v>$AF$930</v>
      </c>
      <c r="P930" s="98" t="str">
        <f ca="1">IF(J929&gt;=10,(MID(O930,1,1)&amp;MID(O930,2,3)+1),CELL("address",AG930))</f>
        <v>$AG$930</v>
      </c>
      <c r="Q930" s="98" t="str">
        <f ca="1">IF(J929&gt;=11,(MID(P930,1,1)&amp;MID(P930,2,3)+1),CELL("address",AH930))</f>
        <v>$AH$930</v>
      </c>
      <c r="R930" s="98" t="str">
        <f ca="1">IF(J929&gt;=12,(MID(Q930,1,1)&amp;MID(Q930,2,3)+1),CELL("address",AI930))</f>
        <v>$AI$930</v>
      </c>
    </row>
    <row r="931" spans="1:18" ht="15" customHeight="1">
      <c r="A931" s="39"/>
      <c r="B931" s="41"/>
      <c r="C931" s="48"/>
      <c r="D931" s="301"/>
      <c r="E931" s="179"/>
      <c r="G931" s="203"/>
      <c r="H931" s="428"/>
      <c r="I931" s="98"/>
      <c r="J931" s="98"/>
      <c r="K931" s="98"/>
      <c r="L931" s="98"/>
      <c r="M931" s="98"/>
      <c r="N931" s="98"/>
      <c r="O931" s="98"/>
      <c r="P931" s="98"/>
      <c r="Q931" s="98"/>
      <c r="R931" s="98"/>
    </row>
    <row r="932" spans="1:18" ht="15" customHeight="1">
      <c r="A932" s="53"/>
      <c r="B932" s="54"/>
      <c r="C932" s="54"/>
      <c r="D932" s="55"/>
      <c r="E932" s="163">
        <f>SUM(E934:E934)</f>
        <v>0.661</v>
      </c>
      <c r="G932" s="203"/>
      <c r="H932" s="428"/>
      <c r="I932" s="98"/>
      <c r="J932" s="98"/>
      <c r="K932" s="98"/>
      <c r="L932" s="98"/>
      <c r="M932" s="98"/>
      <c r="N932" s="98"/>
      <c r="O932" s="98"/>
      <c r="P932" s="98"/>
      <c r="Q932" s="98"/>
      <c r="R932" s="98"/>
    </row>
    <row r="933" spans="1:18" ht="15" customHeight="1">
      <c r="A933" s="329" t="s">
        <v>5</v>
      </c>
      <c r="B933" s="329"/>
      <c r="C933" s="40" t="s">
        <v>17</v>
      </c>
      <c r="D933" s="302" t="s">
        <v>18</v>
      </c>
      <c r="E933" s="39" t="s">
        <v>7</v>
      </c>
      <c r="G933" s="93" t="str">
        <f>CONCATENATE("Misc Iron Scrap, Lying at ",C934,". Quantity in No - ")</f>
        <v>Misc Iron Scrap, Lying at OL Mansa. Quantity in No - </v>
      </c>
      <c r="H933" s="427" t="str">
        <f ca="1">CONCATENATE(G933,G934,(INDIRECT(I934)),(INDIRECT(J934)),(INDIRECT(K934)),(INDIRECT(L934)),(INDIRECT(M934)),(INDIRECT(N934)),(INDIRECT(O934)),(INDIRECT(P934)),(INDIRECT(Q934)),(INDIRECT(R934)),".")</f>
        <v>Misc Iron Scrap, Lying at OL Mansa. Quantity in No - MS iron scrap - 0.661, .</v>
      </c>
      <c r="I933" s="98" t="str">
        <f aca="true" ca="1" t="array" ref="I933">CELL("address",INDEX(G933:G968,MATCH(TRUE,ISBLANK(G933:G968),0)))</f>
        <v>$G$935</v>
      </c>
      <c r="J933" s="98">
        <f aca="true" t="array" ref="J933">MATCH(TRUE,ISBLANK(G933:G968),0)</f>
        <v>3</v>
      </c>
      <c r="K933" s="98">
        <f>J933-3</f>
        <v>0</v>
      </c>
      <c r="L933" s="98"/>
      <c r="M933" s="98"/>
      <c r="N933" s="98"/>
      <c r="O933" s="98"/>
      <c r="P933" s="98"/>
      <c r="Q933" s="98"/>
      <c r="R933" s="98"/>
    </row>
    <row r="934" spans="1:18" ht="15" customHeight="1">
      <c r="A934" s="329" t="s">
        <v>707</v>
      </c>
      <c r="B934" s="329"/>
      <c r="C934" s="302" t="s">
        <v>59</v>
      </c>
      <c r="D934" s="283" t="s">
        <v>29</v>
      </c>
      <c r="E934" s="304">
        <v>0.661</v>
      </c>
      <c r="F934" s="1" t="s">
        <v>681</v>
      </c>
      <c r="G934" s="92" t="str">
        <f>CONCATENATE(D934," - ",E934,", ")</f>
        <v>MS iron scrap - 0.661, </v>
      </c>
      <c r="H934" s="427"/>
      <c r="I934" s="98" t="str">
        <f ca="1">IF(J933&gt;=3,(MID(I933,2,1)&amp;MID(I933,4,3)-K933),CELL("address",Z934))</f>
        <v>G935</v>
      </c>
      <c r="J934" s="98" t="str">
        <f ca="1">IF(J933&gt;=4,(MID(I934,1,1)&amp;MID(I934,2,3)+1),CELL("address",AA934))</f>
        <v>$AA$934</v>
      </c>
      <c r="K934" s="98" t="str">
        <f ca="1">IF(J933&gt;=5,(MID(J934,1,1)&amp;MID(J934,2,3)+1),CELL("address",AB934))</f>
        <v>$AB$934</v>
      </c>
      <c r="L934" s="98" t="str">
        <f ca="1">IF(J933&gt;=6,(MID(K934,1,1)&amp;MID(K934,2,3)+1),CELL("address",AC934))</f>
        <v>$AC$934</v>
      </c>
      <c r="M934" s="98" t="str">
        <f ca="1">IF(J933&gt;=7,(MID(L934,1,1)&amp;MID(L934,2,3)+1),CELL("address",AD934))</f>
        <v>$AD$934</v>
      </c>
      <c r="N934" s="98" t="str">
        <f ca="1">IF(J933&gt;=8,(MID(M934,1,1)&amp;MID(M934,2,3)+1),CELL("address",AE934))</f>
        <v>$AE$934</v>
      </c>
      <c r="O934" s="98" t="str">
        <f ca="1">IF(J933&gt;=9,(MID(N934,1,1)&amp;MID(N934,2,3)+1),CELL("address",AF934))</f>
        <v>$AF$934</v>
      </c>
      <c r="P934" s="98" t="str">
        <f ca="1">IF(J933&gt;=10,(MID(O934,1,1)&amp;MID(O934,2,3)+1),CELL("address",AG934))</f>
        <v>$AG$934</v>
      </c>
      <c r="Q934" s="98" t="str">
        <f ca="1">IF(J933&gt;=11,(MID(P934,1,1)&amp;MID(P934,2,3)+1),CELL("address",AH934))</f>
        <v>$AH$934</v>
      </c>
      <c r="R934" s="98" t="str">
        <f ca="1">IF(J933&gt;=12,(MID(Q934,1,1)&amp;MID(Q934,2,3)+1),CELL("address",AI934))</f>
        <v>$AI$934</v>
      </c>
    </row>
    <row r="935" spans="1:8" ht="15" customHeight="1">
      <c r="A935" s="39"/>
      <c r="B935" s="41"/>
      <c r="C935" s="48"/>
      <c r="D935" s="38"/>
      <c r="E935" s="179"/>
      <c r="H935" s="1"/>
    </row>
    <row r="936" spans="1:8" ht="15" customHeight="1">
      <c r="A936" s="378" t="s">
        <v>287</v>
      </c>
      <c r="B936" s="379"/>
      <c r="C936" s="379"/>
      <c r="D936" s="379"/>
      <c r="E936" s="379"/>
      <c r="H936" s="1"/>
    </row>
    <row r="937" spans="1:8" ht="15" customHeight="1">
      <c r="A937" s="341" t="s">
        <v>5</v>
      </c>
      <c r="B937" s="342"/>
      <c r="C937" s="341" t="s">
        <v>6</v>
      </c>
      <c r="D937" s="342"/>
      <c r="E937" s="213" t="s">
        <v>7</v>
      </c>
      <c r="H937" s="93"/>
    </row>
    <row r="938" spans="1:8" ht="15" customHeight="1">
      <c r="A938" s="329" t="s">
        <v>124</v>
      </c>
      <c r="B938" s="329"/>
      <c r="C938" s="349" t="s">
        <v>112</v>
      </c>
      <c r="D938" s="349"/>
      <c r="E938" s="320">
        <v>1.353</v>
      </c>
      <c r="F938" s="1">
        <v>1.293</v>
      </c>
      <c r="H938" s="93" t="str">
        <f aca="true" t="shared" si="5" ref="H938:H954">CONCATENATE("Wooden scrap (without iron parts), Lying at ",C938,". Quantity in MT - ",E938,)</f>
        <v>Wooden scrap (without iron parts), Lying at OL Fazilka. Quantity in MT - 1.353</v>
      </c>
    </row>
    <row r="939" spans="1:8" ht="15" customHeight="1">
      <c r="A939" s="329" t="s">
        <v>127</v>
      </c>
      <c r="B939" s="329"/>
      <c r="C939" s="329" t="s">
        <v>95</v>
      </c>
      <c r="D939" s="329"/>
      <c r="E939" s="189">
        <v>0.421</v>
      </c>
      <c r="H939" s="93" t="str">
        <f t="shared" si="5"/>
        <v>Wooden scrap (without iron parts), Lying at CS Malout. Quantity in MT - 0.421</v>
      </c>
    </row>
    <row r="940" spans="1:8" ht="15" customHeight="1">
      <c r="A940" s="329" t="s">
        <v>128</v>
      </c>
      <c r="B940" s="329"/>
      <c r="C940" s="382" t="s">
        <v>102</v>
      </c>
      <c r="D940" s="382"/>
      <c r="E940" s="69">
        <v>0.597</v>
      </c>
      <c r="H940" s="93" t="str">
        <f t="shared" si="5"/>
        <v>Wooden scrap (without iron parts), Lying at OL Patran. Quantity in MT - 0.597</v>
      </c>
    </row>
    <row r="941" spans="1:8" ht="15" customHeight="1">
      <c r="A941" s="329" t="s">
        <v>129</v>
      </c>
      <c r="B941" s="329"/>
      <c r="C941" s="323" t="s">
        <v>43</v>
      </c>
      <c r="D941" s="323"/>
      <c r="E941" s="304">
        <v>5.225</v>
      </c>
      <c r="F941" s="1">
        <v>4.968</v>
      </c>
      <c r="H941" s="93" t="str">
        <f t="shared" si="5"/>
        <v>Wooden scrap (without iron parts), Lying at CS Kotkapura. Quantity in MT - 5.225</v>
      </c>
    </row>
    <row r="942" spans="1:8" ht="15" customHeight="1">
      <c r="A942" s="329" t="s">
        <v>130</v>
      </c>
      <c r="B942" s="329"/>
      <c r="C942" s="323" t="s">
        <v>79</v>
      </c>
      <c r="D942" s="323"/>
      <c r="E942" s="217">
        <v>2.916</v>
      </c>
      <c r="F942" s="1">
        <v>1.796</v>
      </c>
      <c r="H942" s="93" t="str">
        <f t="shared" si="5"/>
        <v>Wooden scrap (without iron parts), Lying at CS Sangrur. Quantity in MT - 2.916</v>
      </c>
    </row>
    <row r="943" spans="1:8" ht="15" customHeight="1">
      <c r="A943" s="329" t="s">
        <v>131</v>
      </c>
      <c r="B943" s="329"/>
      <c r="C943" s="349" t="s">
        <v>126</v>
      </c>
      <c r="D943" s="349"/>
      <c r="E943" s="288">
        <v>1.69</v>
      </c>
      <c r="F943" s="1">
        <v>1.275</v>
      </c>
      <c r="H943" s="93" t="str">
        <f t="shared" si="5"/>
        <v>Wooden scrap (without iron parts), Lying at OL Malerkotla. Quantity in MT - 1.69</v>
      </c>
    </row>
    <row r="944" spans="1:8" ht="15" customHeight="1">
      <c r="A944" s="329" t="s">
        <v>137</v>
      </c>
      <c r="B944" s="329"/>
      <c r="C944" s="349" t="s">
        <v>100</v>
      </c>
      <c r="D944" s="349"/>
      <c r="E944" s="304">
        <v>0.612</v>
      </c>
      <c r="F944" s="1">
        <v>0.338</v>
      </c>
      <c r="H944" s="93" t="str">
        <f t="shared" si="5"/>
        <v>Wooden scrap (without iron parts), Lying at OL Bhagta Bhai Ka. Quantity in MT - 0.612</v>
      </c>
    </row>
    <row r="945" spans="1:8" ht="15" customHeight="1">
      <c r="A945" s="329" t="s">
        <v>138</v>
      </c>
      <c r="B945" s="329"/>
      <c r="C945" s="382" t="s">
        <v>59</v>
      </c>
      <c r="D945" s="382"/>
      <c r="E945" s="69">
        <v>0.4</v>
      </c>
      <c r="H945" s="93" t="str">
        <f t="shared" si="5"/>
        <v>Wooden scrap (without iron parts), Lying at OL Mansa. Quantity in MT - 0.4</v>
      </c>
    </row>
    <row r="946" spans="1:8" ht="15" customHeight="1">
      <c r="A946" s="329" t="s">
        <v>139</v>
      </c>
      <c r="B946" s="329"/>
      <c r="C946" s="343" t="s">
        <v>99</v>
      </c>
      <c r="D946" s="343"/>
      <c r="E946" s="311">
        <v>4.27</v>
      </c>
      <c r="F946" s="1">
        <v>4.39</v>
      </c>
      <c r="H946" s="93" t="str">
        <f t="shared" si="5"/>
        <v>Wooden scrap (without iron parts), Lying at CS Ferozepur. Quantity in MT - 4.27</v>
      </c>
    </row>
    <row r="947" spans="1:8" ht="15" customHeight="1">
      <c r="A947" s="329" t="s">
        <v>140</v>
      </c>
      <c r="B947" s="329"/>
      <c r="C947" s="349" t="s">
        <v>269</v>
      </c>
      <c r="D947" s="368"/>
      <c r="E947" s="217">
        <v>0.757</v>
      </c>
      <c r="F947" s="1">
        <v>0.376</v>
      </c>
      <c r="H947" s="93" t="str">
        <f t="shared" si="5"/>
        <v>Wooden scrap (without iron parts), Lying at OL Moga. Quantity in MT - 0.757</v>
      </c>
    </row>
    <row r="948" spans="1:8" ht="15" customHeight="1">
      <c r="A948" s="329" t="s">
        <v>144</v>
      </c>
      <c r="B948" s="329"/>
      <c r="C948" s="350" t="s">
        <v>429</v>
      </c>
      <c r="D948" s="350"/>
      <c r="E948" s="311">
        <v>0.37</v>
      </c>
      <c r="F948" s="1">
        <v>0.5</v>
      </c>
      <c r="H948" s="93" t="str">
        <f t="shared" si="5"/>
        <v>Wooden scrap (without iron parts), Lying at OL Shri Mukatsar Sahib. Quantity in MT - 0.37</v>
      </c>
    </row>
    <row r="949" spans="1:8" ht="15" customHeight="1">
      <c r="A949" s="329" t="s">
        <v>428</v>
      </c>
      <c r="B949" s="329"/>
      <c r="C949" s="349" t="s">
        <v>190</v>
      </c>
      <c r="D949" s="349"/>
      <c r="E949" s="287">
        <v>1.235</v>
      </c>
      <c r="F949" s="1">
        <v>0.625</v>
      </c>
      <c r="H949" s="93" t="str">
        <f t="shared" si="5"/>
        <v>Wooden scrap (without iron parts), Lying at OL Barnala. Quantity in MT - 1.235</v>
      </c>
    </row>
    <row r="950" spans="1:8" ht="15" customHeight="1">
      <c r="A950" s="329" t="s">
        <v>451</v>
      </c>
      <c r="B950" s="329"/>
      <c r="C950" s="369" t="s">
        <v>63</v>
      </c>
      <c r="D950" s="369"/>
      <c r="E950" s="303">
        <v>0.264</v>
      </c>
      <c r="F950" s="1">
        <v>0.199</v>
      </c>
      <c r="H950" s="93" t="str">
        <f t="shared" si="5"/>
        <v>Wooden scrap (without iron parts), Lying at CS Bathinda. Quantity in MT - 0.264</v>
      </c>
    </row>
    <row r="951" spans="1:8" ht="15" customHeight="1">
      <c r="A951" s="329" t="s">
        <v>494</v>
      </c>
      <c r="B951" s="329"/>
      <c r="C951" s="382" t="s">
        <v>532</v>
      </c>
      <c r="D951" s="382"/>
      <c r="E951" s="46">
        <v>1.305</v>
      </c>
      <c r="H951" s="93" t="str">
        <f t="shared" si="5"/>
        <v>Wooden scrap (without iron parts), Lying at OLNabha. Quantity in MT - 1.305</v>
      </c>
    </row>
    <row r="952" spans="1:8" ht="15" customHeight="1">
      <c r="A952" s="329" t="s">
        <v>523</v>
      </c>
      <c r="B952" s="329"/>
      <c r="C952" s="349" t="s">
        <v>702</v>
      </c>
      <c r="D952" s="368"/>
      <c r="E952" s="314">
        <v>0.4</v>
      </c>
      <c r="F952" s="1" t="s">
        <v>681</v>
      </c>
      <c r="H952" s="93" t="str">
        <f t="shared" si="5"/>
        <v>Wooden scrap (without iron parts), Lying at OLRajpura. Quantity in MT - 0.4</v>
      </c>
    </row>
    <row r="953" spans="1:8" ht="15" customHeight="1">
      <c r="A953" s="329" t="s">
        <v>531</v>
      </c>
      <c r="B953" s="329"/>
      <c r="C953" s="369" t="s">
        <v>62</v>
      </c>
      <c r="D953" s="369"/>
      <c r="E953" s="314">
        <v>2.22</v>
      </c>
      <c r="F953" s="1" t="s">
        <v>681</v>
      </c>
      <c r="H953" s="93" t="str">
        <f t="shared" si="5"/>
        <v>Wooden scrap (without iron parts), Lying at CS Mohali. Quantity in MT - 2.22</v>
      </c>
    </row>
    <row r="954" spans="1:8" ht="15" customHeight="1" thickBot="1">
      <c r="A954" s="329" t="s">
        <v>712</v>
      </c>
      <c r="B954" s="329"/>
      <c r="C954" s="349" t="s">
        <v>98</v>
      </c>
      <c r="D954" s="349"/>
      <c r="E954" s="314">
        <v>0.814</v>
      </c>
      <c r="F954" s="1" t="s">
        <v>681</v>
      </c>
      <c r="H954" s="93" t="str">
        <f t="shared" si="5"/>
        <v>Wooden scrap (without iron parts), Lying at OL Ropar. Quantity in MT - 0.814</v>
      </c>
    </row>
    <row r="955" spans="1:8" ht="15" customHeight="1" thickBot="1">
      <c r="A955" s="366" t="s">
        <v>14</v>
      </c>
      <c r="B955" s="367"/>
      <c r="C955" s="221"/>
      <c r="D955" s="221"/>
      <c r="E955" s="164">
        <f>SUM(E938:E954)</f>
        <v>24.849</v>
      </c>
      <c r="H955" s="1"/>
    </row>
    <row r="956" spans="1:8" ht="15" customHeight="1">
      <c r="A956" s="19"/>
      <c r="B956" s="19"/>
      <c r="C956" s="15"/>
      <c r="D956" s="15"/>
      <c r="E956" s="165"/>
      <c r="H956" s="1"/>
    </row>
    <row r="957" spans="1:8" ht="15" customHeight="1">
      <c r="A957" s="409" t="s">
        <v>11</v>
      </c>
      <c r="B957" s="410"/>
      <c r="C957" s="410"/>
      <c r="D957" s="410"/>
      <c r="E957" s="410"/>
      <c r="H957" s="1"/>
    </row>
    <row r="958" spans="1:8" ht="15" customHeight="1">
      <c r="A958" s="16"/>
      <c r="B958" s="17"/>
      <c r="C958" s="17"/>
      <c r="D958" s="17"/>
      <c r="E958" s="17"/>
      <c r="H958" s="1"/>
    </row>
    <row r="959" spans="1:8" ht="15" customHeight="1">
      <c r="A959" s="374" t="s">
        <v>8</v>
      </c>
      <c r="B959" s="375"/>
      <c r="C959" s="375"/>
      <c r="D959" s="375"/>
      <c r="E959" s="375"/>
      <c r="H959" s="1"/>
    </row>
    <row r="960" spans="1:8" ht="15" customHeight="1">
      <c r="A960" s="40" t="s">
        <v>5</v>
      </c>
      <c r="B960" s="327" t="s">
        <v>17</v>
      </c>
      <c r="C960" s="327"/>
      <c r="D960" s="212" t="s">
        <v>18</v>
      </c>
      <c r="E960" s="39" t="s">
        <v>76</v>
      </c>
      <c r="G960" s="322"/>
      <c r="H960" s="1"/>
    </row>
    <row r="961" spans="1:8" ht="15" customHeight="1">
      <c r="A961" s="40" t="s">
        <v>78</v>
      </c>
      <c r="B961" s="363" t="s">
        <v>108</v>
      </c>
      <c r="C961" s="363"/>
      <c r="D961" s="305" t="s">
        <v>77</v>
      </c>
      <c r="E961" s="284">
        <v>44</v>
      </c>
      <c r="F961" s="1">
        <v>37</v>
      </c>
      <c r="H961" s="93" t="str">
        <f>CONCATENATE("CT/PT Units, Lying at ",B961,". Quantity in No - ",E961,)</f>
        <v>CT/PT Units, Lying at Central Store Kotkapura. Quantity in No - 44</v>
      </c>
    </row>
    <row r="962" spans="1:8" ht="15" customHeight="1">
      <c r="A962" s="39"/>
      <c r="B962" s="78"/>
      <c r="C962" s="78"/>
      <c r="D962" s="41"/>
      <c r="E962" s="162"/>
      <c r="H962" s="93"/>
    </row>
    <row r="963" spans="1:8" ht="15" customHeight="1">
      <c r="A963" s="40" t="s">
        <v>5</v>
      </c>
      <c r="B963" s="327" t="s">
        <v>17</v>
      </c>
      <c r="C963" s="327"/>
      <c r="D963" s="212" t="s">
        <v>18</v>
      </c>
      <c r="E963" s="39" t="s">
        <v>76</v>
      </c>
      <c r="H963" s="1"/>
    </row>
    <row r="964" spans="1:8" ht="15" customHeight="1">
      <c r="A964" s="40" t="s">
        <v>121</v>
      </c>
      <c r="B964" s="363" t="s">
        <v>159</v>
      </c>
      <c r="C964" s="363"/>
      <c r="D964" s="305" t="s">
        <v>77</v>
      </c>
      <c r="E964" s="284">
        <v>35</v>
      </c>
      <c r="F964" s="1">
        <v>33</v>
      </c>
      <c r="H964" s="93" t="str">
        <f>CONCATENATE("CT/PT Units, Lying at ",B964,". Quantity in No - ",E964,)</f>
        <v>CT/PT Units, Lying at Central Store Patiala. Quantity in No - 35</v>
      </c>
    </row>
    <row r="965" spans="1:8" ht="15" customHeight="1">
      <c r="A965" s="39"/>
      <c r="B965" s="84"/>
      <c r="C965" s="84"/>
      <c r="D965" s="41"/>
      <c r="E965" s="162"/>
      <c r="H965" s="1"/>
    </row>
    <row r="966" spans="1:8" ht="15" customHeight="1">
      <c r="A966" s="40" t="s">
        <v>5</v>
      </c>
      <c r="B966" s="327" t="s">
        <v>17</v>
      </c>
      <c r="C966" s="327"/>
      <c r="D966" s="212" t="s">
        <v>18</v>
      </c>
      <c r="E966" s="39" t="s">
        <v>76</v>
      </c>
      <c r="H966" s="1"/>
    </row>
    <row r="967" spans="1:8" ht="15" customHeight="1">
      <c r="A967" s="40" t="s">
        <v>197</v>
      </c>
      <c r="B967" s="363" t="s">
        <v>185</v>
      </c>
      <c r="C967" s="363"/>
      <c r="D967" s="312" t="s">
        <v>77</v>
      </c>
      <c r="E967" s="284">
        <v>74</v>
      </c>
      <c r="F967" s="1">
        <v>56</v>
      </c>
      <c r="H967" s="93" t="str">
        <f>CONCATENATE("CT/PT Units, Lying at ",B967,". Quantity in No - ",E967,)</f>
        <v>CT/PT Units, Lying at Outlet store Ropar. Quantity in No - 74</v>
      </c>
    </row>
    <row r="968" spans="1:8" ht="15" customHeight="1">
      <c r="A968" s="39"/>
      <c r="B968" s="84"/>
      <c r="C968" s="84"/>
      <c r="D968" s="224"/>
      <c r="E968" s="166"/>
      <c r="H968" s="1"/>
    </row>
    <row r="969" spans="1:8" ht="15" customHeight="1">
      <c r="A969" s="40" t="s">
        <v>5</v>
      </c>
      <c r="B969" s="327" t="s">
        <v>17</v>
      </c>
      <c r="C969" s="327"/>
      <c r="D969" s="212" t="s">
        <v>18</v>
      </c>
      <c r="E969" s="39" t="s">
        <v>76</v>
      </c>
      <c r="H969" s="1"/>
    </row>
    <row r="970" spans="1:8" ht="15" customHeight="1">
      <c r="A970" s="40" t="s">
        <v>206</v>
      </c>
      <c r="B970" s="363" t="s">
        <v>209</v>
      </c>
      <c r="C970" s="363"/>
      <c r="D970" s="220" t="s">
        <v>77</v>
      </c>
      <c r="E970" s="284">
        <v>62</v>
      </c>
      <c r="F970" s="1">
        <v>42</v>
      </c>
      <c r="H970" s="93" t="str">
        <f>CONCATENATE("CT/PT Units, Lying at ",B970,". Quantity in No - ",E970,)</f>
        <v>CT/PT Units, Lying at Central Store Sangrur. Quantity in No - 62</v>
      </c>
    </row>
    <row r="971" spans="1:8" ht="15" customHeight="1">
      <c r="A971" s="39"/>
      <c r="B971" s="84"/>
      <c r="C971" s="84"/>
      <c r="D971" s="41"/>
      <c r="E971" s="162"/>
      <c r="H971" s="1"/>
    </row>
    <row r="972" spans="1:8" ht="15" customHeight="1">
      <c r="A972" s="40" t="s">
        <v>5</v>
      </c>
      <c r="B972" s="327" t="s">
        <v>17</v>
      </c>
      <c r="C972" s="327"/>
      <c r="D972" s="212" t="s">
        <v>18</v>
      </c>
      <c r="E972" s="39" t="s">
        <v>76</v>
      </c>
      <c r="H972" s="1"/>
    </row>
    <row r="973" spans="1:8" ht="15" customHeight="1">
      <c r="A973" s="40" t="s">
        <v>278</v>
      </c>
      <c r="B973" s="363" t="s">
        <v>291</v>
      </c>
      <c r="C973" s="363"/>
      <c r="D973" s="305" t="s">
        <v>77</v>
      </c>
      <c r="E973" s="284">
        <v>50</v>
      </c>
      <c r="F973" s="1">
        <v>41</v>
      </c>
      <c r="H973" s="93" t="str">
        <f>CONCATENATE("CT/PT Units, Lying at ",B973,". Quantity in No - ",E973,)</f>
        <v>CT/PT Units, Lying at Central Store Bathinda. Quantity in No - 50</v>
      </c>
    </row>
    <row r="974" spans="1:8" ht="15" customHeight="1">
      <c r="A974" s="39"/>
      <c r="B974" s="84"/>
      <c r="C974" s="84"/>
      <c r="D974" s="41"/>
      <c r="E974" s="162"/>
      <c r="H974" s="1"/>
    </row>
    <row r="975" spans="1:8" ht="15" customHeight="1">
      <c r="A975" s="40" t="s">
        <v>5</v>
      </c>
      <c r="B975" s="327" t="s">
        <v>17</v>
      </c>
      <c r="C975" s="327"/>
      <c r="D975" s="212" t="s">
        <v>18</v>
      </c>
      <c r="E975" s="39" t="s">
        <v>76</v>
      </c>
      <c r="G975" s="322"/>
      <c r="H975" s="1"/>
    </row>
    <row r="976" spans="1:8" ht="15" customHeight="1">
      <c r="A976" s="40" t="s">
        <v>292</v>
      </c>
      <c r="B976" s="363" t="s">
        <v>108</v>
      </c>
      <c r="C976" s="363"/>
      <c r="D976" s="40" t="s">
        <v>279</v>
      </c>
      <c r="E976" s="161">
        <v>168</v>
      </c>
      <c r="H976" s="93" t="str">
        <f>CONCATENATE("Empty steel drums (cap 209 ltrs), Lying at ",B976,". Quantity in No - ",E976,)</f>
        <v>Empty steel drums (cap 209 ltrs), Lying at Central Store Kotkapura. Quantity in No - 168</v>
      </c>
    </row>
    <row r="977" spans="1:8" ht="15" customHeight="1">
      <c r="A977" s="39"/>
      <c r="B977" s="84"/>
      <c r="C977" s="84"/>
      <c r="D977" s="41"/>
      <c r="E977" s="162"/>
      <c r="H977" s="1"/>
    </row>
    <row r="978" spans="1:8" ht="15" customHeight="1">
      <c r="A978" s="40" t="s">
        <v>5</v>
      </c>
      <c r="B978" s="327" t="s">
        <v>17</v>
      </c>
      <c r="C978" s="327"/>
      <c r="D978" s="212" t="s">
        <v>18</v>
      </c>
      <c r="E978" s="39" t="s">
        <v>76</v>
      </c>
      <c r="H978" s="1"/>
    </row>
    <row r="979" spans="1:8" ht="15" customHeight="1">
      <c r="A979" s="200" t="s">
        <v>322</v>
      </c>
      <c r="B979" s="363" t="s">
        <v>321</v>
      </c>
      <c r="C979" s="363"/>
      <c r="D979" s="40" t="s">
        <v>279</v>
      </c>
      <c r="E979" s="161">
        <v>53</v>
      </c>
      <c r="H979" s="93" t="str">
        <f>CONCATENATE("Empty steel drums (cap 209 ltrs), Lying at ",B979,". Quantity in No - ",E979,)</f>
        <v>Empty steel drums (cap 209 ltrs), Lying at Central Store Malout. Quantity in No - 53</v>
      </c>
    </row>
    <row r="980" spans="1:8" ht="15" customHeight="1">
      <c r="A980" s="39"/>
      <c r="B980" s="84"/>
      <c r="C980" s="84"/>
      <c r="D980" s="224"/>
      <c r="E980" s="166"/>
      <c r="H980" s="1"/>
    </row>
    <row r="981" spans="1:8" ht="15" customHeight="1">
      <c r="A981" s="40" t="s">
        <v>5</v>
      </c>
      <c r="B981" s="327" t="s">
        <v>17</v>
      </c>
      <c r="C981" s="327"/>
      <c r="D981" s="212" t="s">
        <v>18</v>
      </c>
      <c r="E981" s="39" t="s">
        <v>76</v>
      </c>
      <c r="H981" s="1"/>
    </row>
    <row r="982" spans="1:8" ht="15" customHeight="1">
      <c r="A982" s="40" t="s">
        <v>332</v>
      </c>
      <c r="B982" s="363" t="s">
        <v>185</v>
      </c>
      <c r="C982" s="363"/>
      <c r="D982" s="40" t="s">
        <v>279</v>
      </c>
      <c r="E982" s="161">
        <v>13</v>
      </c>
      <c r="H982" s="93" t="str">
        <f>CONCATENATE("Empty steel drums (cap 209 ltrs), Lying at ",B982,". Quantity in No - ",E982,)</f>
        <v>Empty steel drums (cap 209 ltrs), Lying at Outlet store Ropar. Quantity in No - 13</v>
      </c>
    </row>
    <row r="983" spans="1:8" ht="12.75" customHeight="1">
      <c r="A983" s="39"/>
      <c r="B983" s="84"/>
      <c r="C983" s="84"/>
      <c r="D983" s="224"/>
      <c r="E983" s="166"/>
      <c r="F983" s="94"/>
      <c r="G983" s="94"/>
      <c r="H983" s="95"/>
    </row>
    <row r="984" spans="1:8" ht="12.75" customHeight="1">
      <c r="A984" s="344" t="s">
        <v>16</v>
      </c>
      <c r="B984" s="345"/>
      <c r="C984" s="345"/>
      <c r="D984" s="345"/>
      <c r="E984" s="345"/>
      <c r="H984" s="1"/>
    </row>
    <row r="985" spans="1:8" ht="12.75" customHeight="1">
      <c r="A985" s="20"/>
      <c r="B985" s="21"/>
      <c r="C985" s="21"/>
      <c r="D985" s="21"/>
      <c r="E985" s="21"/>
      <c r="H985" s="1"/>
    </row>
    <row r="986" spans="1:8" ht="25.5" customHeight="1">
      <c r="A986" s="380" t="s">
        <v>15</v>
      </c>
      <c r="B986" s="381"/>
      <c r="C986" s="381"/>
      <c r="D986" s="381"/>
      <c r="E986" s="381"/>
      <c r="H986" s="1"/>
    </row>
    <row r="987" spans="1:8" ht="15" customHeight="1">
      <c r="A987" s="218"/>
      <c r="B987" s="219"/>
      <c r="C987" s="219"/>
      <c r="D987" s="219"/>
      <c r="E987" s="219"/>
      <c r="H987" s="1"/>
    </row>
    <row r="988" spans="1:8" ht="15" customHeight="1">
      <c r="A988" s="376" t="s">
        <v>49</v>
      </c>
      <c r="B988" s="377"/>
      <c r="C988" s="377"/>
      <c r="D988" s="377"/>
      <c r="E988" s="377"/>
      <c r="H988" s="1"/>
    </row>
    <row r="989" spans="1:8" ht="24" customHeight="1">
      <c r="A989" s="14" t="s">
        <v>5</v>
      </c>
      <c r="B989" s="14" t="s">
        <v>1</v>
      </c>
      <c r="C989" s="14" t="s">
        <v>2</v>
      </c>
      <c r="D989" s="14" t="s">
        <v>3</v>
      </c>
      <c r="E989" s="167" t="s">
        <v>4</v>
      </c>
      <c r="H989" s="1"/>
    </row>
    <row r="990" spans="1:8" ht="24.75" customHeight="1">
      <c r="A990" s="11" t="s">
        <v>109</v>
      </c>
      <c r="B990" s="11" t="s">
        <v>88</v>
      </c>
      <c r="C990" s="11" t="s">
        <v>105</v>
      </c>
      <c r="D990" s="11" t="s">
        <v>89</v>
      </c>
      <c r="E990" s="24" t="s">
        <v>254</v>
      </c>
      <c r="H990" s="101" t="str">
        <f>CONCATENATE("Condemned/obsolete Vehicles  (Without RC )--- ",B990," ",C990," ",E990," ",)</f>
        <v>Condemned/obsolete Vehicles  (Without RC )--- PB-11 AH-0925 HONDA CIVIC CAR (PETROL) 2008 …. CE/ TA &amp; I PSPCL PATIALA 96461-19587 </v>
      </c>
    </row>
    <row r="991" spans="1:8" ht="24.75" customHeight="1">
      <c r="A991" s="11" t="s">
        <v>151</v>
      </c>
      <c r="B991" s="23" t="s">
        <v>148</v>
      </c>
      <c r="C991" s="23" t="s">
        <v>149</v>
      </c>
      <c r="D991" s="23" t="s">
        <v>150</v>
      </c>
      <c r="E991" s="87" t="s">
        <v>255</v>
      </c>
      <c r="H991" s="101" t="str">
        <f>CONCATENATE("Condemned/obsolete Vehicles  (Without RC )--- ",B991," ",C991," ",E991," ",)</f>
        <v>Condemned/obsolete Vehicles  (Without RC )--- PB-05 F-9520 MINI TRUCK EICHER DIESEL (1999) ….. DS S/D MAMDOT PSPCL FEROZEPUR MOB 9646114589 </v>
      </c>
    </row>
    <row r="992" spans="1:8" ht="24.75" customHeight="1">
      <c r="A992" s="11" t="s">
        <v>154</v>
      </c>
      <c r="B992" s="23" t="s">
        <v>155</v>
      </c>
      <c r="C992" s="23" t="s">
        <v>156</v>
      </c>
      <c r="D992" s="23" t="s">
        <v>157</v>
      </c>
      <c r="E992" s="87" t="s">
        <v>256</v>
      </c>
      <c r="H992" s="101" t="str">
        <f>CONCATENATE("Condemned/obsolete Vehicles  (Without RC )--- ",B992," ",C992," ",E992," ",)</f>
        <v>Condemned/obsolete Vehicles  (Without RC )--- PB-03 N-5547 AMBASSADOR CAR DIESEL (2005) ….. DS DIVISION BADAL 96461-14534 </v>
      </c>
    </row>
    <row r="993" spans="1:15" ht="15" customHeight="1">
      <c r="A993" s="18"/>
      <c r="B993" s="22"/>
      <c r="C993" s="22"/>
      <c r="D993" s="18"/>
      <c r="E993" s="168"/>
      <c r="F993" s="98"/>
      <c r="G993" s="98"/>
      <c r="H993" s="426"/>
      <c r="I993" s="98"/>
      <c r="J993" s="98"/>
      <c r="K993" s="98"/>
      <c r="L993" s="98"/>
      <c r="M993" s="98"/>
      <c r="N993" s="98"/>
      <c r="O993" s="98"/>
    </row>
    <row r="994" spans="1:15" ht="15" customHeight="1">
      <c r="A994" s="372" t="s">
        <v>50</v>
      </c>
      <c r="B994" s="373"/>
      <c r="C994" s="373"/>
      <c r="D994" s="373"/>
      <c r="E994" s="373"/>
      <c r="F994" s="98"/>
      <c r="G994" s="98"/>
      <c r="H994" s="426"/>
      <c r="I994" s="98" t="str">
        <f ca="1">IF(G993&gt;=6,(MID(H994,1,1)&amp;MID(H994,2,4)+1),CELL("address",Z994))</f>
        <v>$Z$994</v>
      </c>
      <c r="J994" s="98" t="str">
        <f ca="1">IF(G993&gt;=7,(MID(I994,1,1)&amp;MID(I994,2,4)+1),CELL("address",AA994))</f>
        <v>$AA$994</v>
      </c>
      <c r="K994" s="98" t="str">
        <f ca="1">IF(G993&gt;=8,(MID(J994,1,1)&amp;MID(J994,2,4)+1),CELL("address",AB994))</f>
        <v>$AB$994</v>
      </c>
      <c r="L994" s="98" t="str">
        <f ca="1">IF(G993&gt;=9,(MID(K994,1,1)&amp;MID(K994,2,4)+1),CELL("address",AC994))</f>
        <v>$AC$994</v>
      </c>
      <c r="M994" s="98" t="str">
        <f ca="1">IF(G993&gt;=10,(MID(L994,1,1)&amp;MID(L994,2,4)+1),CELL("address",AD994))</f>
        <v>$AD$994</v>
      </c>
      <c r="N994" s="98" t="str">
        <f ca="1">IF(G993&gt;=11,(MID(M994,1,1)&amp;MID(M994,2,4)+1),CELL("address",AE994))</f>
        <v>$AE$994</v>
      </c>
      <c r="O994" s="98" t="str">
        <f ca="1">IF(G993&gt;=12,(MID(N994,1,1)&amp;MID(N994,2,4)+1),CELL("address",AF994))</f>
        <v>$AF$994</v>
      </c>
    </row>
    <row r="995" spans="1:8" ht="15" customHeight="1">
      <c r="A995" s="370" t="s">
        <v>106</v>
      </c>
      <c r="B995" s="371"/>
      <c r="C995" s="371"/>
      <c r="D995" s="371"/>
      <c r="E995" s="371"/>
      <c r="H995" s="1"/>
    </row>
    <row r="996" spans="1:8" ht="15" customHeight="1">
      <c r="A996" s="6"/>
      <c r="B996" s="7"/>
      <c r="C996" s="7"/>
      <c r="D996" s="7"/>
      <c r="E996" s="7"/>
      <c r="H996" s="1"/>
    </row>
    <row r="997" spans="1:20" ht="15" customHeight="1">
      <c r="A997" s="344" t="s">
        <v>25</v>
      </c>
      <c r="B997" s="345"/>
      <c r="C997" s="345"/>
      <c r="D997" s="345"/>
      <c r="E997" s="345"/>
      <c r="F997" s="121">
        <f>E998+E1005+E1014+E1022+E1027+E1034+E1041+E1045+E1053+E1064+E1069+E1074+E1082+E1087+E1092+E1101+E1105+E1109+E1113+E1117+E1121+E1129+E1136+E1144+E1148+E1156+E1161+E1168+E1176+E1181+E1186+E1192+E1197+E1202+E1206+E1212+E1216+E1221</f>
        <v>66.844</v>
      </c>
      <c r="H997" s="1"/>
      <c r="Q997" s="362"/>
      <c r="R997" s="362"/>
      <c r="S997" s="362"/>
      <c r="T997" s="362"/>
    </row>
    <row r="998" spans="1:8" ht="15" customHeight="1">
      <c r="A998" s="61"/>
      <c r="B998" s="61"/>
      <c r="C998" s="62"/>
      <c r="D998" s="62"/>
      <c r="E998" s="63">
        <f>SUM(E1000:E1003)</f>
        <v>4.129</v>
      </c>
      <c r="H998" s="1"/>
    </row>
    <row r="999" spans="1:18" ht="17.25" customHeight="1">
      <c r="A999" s="325" t="s">
        <v>5</v>
      </c>
      <c r="B999" s="326"/>
      <c r="C999" s="64" t="s">
        <v>17</v>
      </c>
      <c r="D999" s="65" t="s">
        <v>18</v>
      </c>
      <c r="E999" s="68" t="s">
        <v>7</v>
      </c>
      <c r="G999" s="170" t="str">
        <f>CONCATENATE("Misc. Healthy parts/ Non Ferrous  Scrap, Lying at ",C1000,". Quantity in MT - ")</f>
        <v>Misc. Healthy parts/ Non Ferrous  Scrap, Lying at TRY Bathinda. Quantity in MT - </v>
      </c>
      <c r="H999" s="427" t="str">
        <f ca="1">CONCATENATE(G999,G1000,(INDIRECT(I1000)),(INDIRECT(J1000)),(INDIRECT(K1000)),(INDIRECT(L1000)),(INDIRECT(M1000)),(INDIRECT(N1000)),(INDIRECT(O1000)),(INDIRECT(P1000)),(INDIRECT(Q1000)),(INDIRECT(R1000)),".")</f>
        <v>Misc. Healthy parts/ Non Ferrous  Scrap, Lying at TRY Bathinda. Quantity in MT - Brass scrap - 2.683, Misc. Aluminium scrap - 0.893, Burnt Cu scrap - 0.203, Nuts &amp; Bolts scrap - 0.35, .</v>
      </c>
      <c r="I999" s="98" t="str">
        <f aca="true" ca="1" t="array" ref="I999">CELL("address",INDEX(G999:G1021,MATCH(TRUE,ISBLANK(G999:G1021),0)))</f>
        <v>$G$1004</v>
      </c>
      <c r="J999" s="98">
        <f aca="true" t="array" ref="J999">MATCH(TRUE,ISBLANK(G999:G1021),0)</f>
        <v>6</v>
      </c>
      <c r="K999" s="98">
        <f>J999-3</f>
        <v>3</v>
      </c>
      <c r="L999" s="98"/>
      <c r="M999" s="98"/>
      <c r="N999" s="98"/>
      <c r="O999" s="98"/>
      <c r="P999" s="98"/>
      <c r="Q999" s="98"/>
      <c r="R999" s="98"/>
    </row>
    <row r="1000" spans="1:18" ht="17.25" customHeight="1">
      <c r="A1000" s="329" t="s">
        <v>34</v>
      </c>
      <c r="B1000" s="329"/>
      <c r="C1000" s="327" t="s">
        <v>36</v>
      </c>
      <c r="D1000" s="40" t="s">
        <v>23</v>
      </c>
      <c r="E1000" s="69">
        <v>2.683</v>
      </c>
      <c r="F1000" s="98"/>
      <c r="G1000" s="102" t="str">
        <f>CONCATENATE(D1000," - ",E1000,", ")</f>
        <v>Brass scrap - 2.683, </v>
      </c>
      <c r="H1000" s="427"/>
      <c r="I1000" s="98" t="str">
        <f ca="1">IF(J999&gt;=3,(MID(I999,2,1)&amp;MID(I999,4,4)-K999),CELL("address",Z1000))</f>
        <v>G1001</v>
      </c>
      <c r="J1000" s="98" t="str">
        <f ca="1">IF(J999&gt;=4,(MID(I1000,1,1)&amp;MID(I1000,2,4)+1),CELL("address",AA1000))</f>
        <v>G1002</v>
      </c>
      <c r="K1000" s="98" t="str">
        <f ca="1">IF(J999&gt;=5,(MID(J1000,1,1)&amp;MID(J1000,2,4)+1),CELL("address",AB1000))</f>
        <v>G1003</v>
      </c>
      <c r="L1000" s="98" t="str">
        <f ca="1">IF(J999&gt;=6,(MID(K1000,1,1)&amp;MID(K1000,2,4)+1),CELL("address",AC1000))</f>
        <v>G1004</v>
      </c>
      <c r="M1000" s="98" t="str">
        <f ca="1">IF(J999&gt;=7,(MID(L1000,1,1)&amp;MID(L1000,2,4)+1),CELL("address",AD1000))</f>
        <v>$AD$1000</v>
      </c>
      <c r="N1000" s="98" t="str">
        <f ca="1">IF(J999&gt;=8,(MID(M1000,1,1)&amp;MID(M1000,2,4)+1),CELL("address",AE1000))</f>
        <v>$AE$1000</v>
      </c>
      <c r="O1000" s="98" t="str">
        <f ca="1">IF(J999&gt;=9,(MID(N1000,1,1)&amp;MID(N1000,2,4)+1),CELL("address",AF1000))</f>
        <v>$AF$1000</v>
      </c>
      <c r="P1000" s="98" t="str">
        <f ca="1">IF(J999&gt;=10,(MID(O1000,1,1)&amp;MID(O1000,2,4)+1),CELL("address",AG1000))</f>
        <v>$AG$1000</v>
      </c>
      <c r="Q1000" s="98" t="str">
        <f ca="1">IF(J999&gt;=11,(MID(P1000,1,1)&amp;MID(P1000,2,4)+1),CELL("address",AH1000))</f>
        <v>$AH$1000</v>
      </c>
      <c r="R1000" s="98" t="str">
        <f ca="1">IF(J999&gt;=12,(MID(Q1000,1,1)&amp;MID(Q1000,2,4)+1),CELL("address",AI1000))</f>
        <v>$AI$1000</v>
      </c>
    </row>
    <row r="1001" spans="1:15" ht="17.25" customHeight="1">
      <c r="A1001" s="329"/>
      <c r="B1001" s="329"/>
      <c r="C1001" s="327"/>
      <c r="D1001" s="40" t="s">
        <v>24</v>
      </c>
      <c r="E1001" s="69">
        <v>0.893</v>
      </c>
      <c r="F1001" s="98"/>
      <c r="G1001" s="102" t="str">
        <f>CONCATENATE(D1001," - ",E1001,", ")</f>
        <v>Misc. Aluminium scrap - 0.893, </v>
      </c>
      <c r="H1001" s="426"/>
      <c r="I1001" s="98" t="e">
        <f ca="1">IF(G1000&gt;=6,(MID(H1001,1,1)&amp;MID(H1001,2,4)+1),CELL("address",Z1001))</f>
        <v>#VALUE!</v>
      </c>
      <c r="J1001" s="98" t="e">
        <f ca="1">IF(G1000&gt;=7,(MID(I1001,1,1)&amp;MID(I1001,2,4)+1),CELL("address",AA1001))</f>
        <v>#VALUE!</v>
      </c>
      <c r="K1001" s="98" t="e">
        <f ca="1">IF(G1000&gt;=8,(MID(J1001,1,1)&amp;MID(J1001,2,4)+1),CELL("address",AB1001))</f>
        <v>#VALUE!</v>
      </c>
      <c r="L1001" s="98" t="e">
        <f ca="1">IF(G1000&gt;=9,(MID(K1001,1,1)&amp;MID(K1001,2,4)+1),CELL("address",AC1001))</f>
        <v>#VALUE!</v>
      </c>
      <c r="M1001" s="98" t="e">
        <f ca="1">IF(G1000&gt;=10,(MID(L1001,1,1)&amp;MID(L1001,2,4)+1),CELL("address",AD1001))</f>
        <v>#VALUE!</v>
      </c>
      <c r="N1001" s="98" t="e">
        <f ca="1">IF(G1000&gt;=11,(MID(M1001,1,1)&amp;MID(M1001,2,4)+1),CELL("address",AE1001))</f>
        <v>#VALUE!</v>
      </c>
      <c r="O1001" s="98" t="e">
        <f ca="1">IF(G1000&gt;=12,(MID(N1001,1,1)&amp;MID(N1001,2,4)+1),CELL("address",AF1001))</f>
        <v>#VALUE!</v>
      </c>
    </row>
    <row r="1002" spans="1:8" ht="17.25" customHeight="1">
      <c r="A1002" s="329"/>
      <c r="B1002" s="329"/>
      <c r="C1002" s="327"/>
      <c r="D1002" s="40" t="s">
        <v>37</v>
      </c>
      <c r="E1002" s="69">
        <v>0.203</v>
      </c>
      <c r="G1002" s="102" t="str">
        <f>CONCATENATE(D1002," - ",E1002,", ")</f>
        <v>Burnt Cu scrap - 0.203, </v>
      </c>
      <c r="H1002" s="1"/>
    </row>
    <row r="1003" spans="1:8" ht="17.25" customHeight="1">
      <c r="A1003" s="329"/>
      <c r="B1003" s="329"/>
      <c r="C1003" s="327"/>
      <c r="D1003" s="40" t="s">
        <v>58</v>
      </c>
      <c r="E1003" s="69">
        <v>0.35</v>
      </c>
      <c r="G1003" s="102" t="str">
        <f>CONCATENATE(D1003," - ",E1003,", ")</f>
        <v>Nuts &amp; Bolts scrap - 0.35, </v>
      </c>
      <c r="H1003" s="1"/>
    </row>
    <row r="1004" spans="1:8" ht="17.25" customHeight="1">
      <c r="A1004" s="325"/>
      <c r="B1004" s="326"/>
      <c r="C1004" s="212"/>
      <c r="D1004" s="40"/>
      <c r="E1004" s="69"/>
      <c r="H1004" s="1"/>
    </row>
    <row r="1005" spans="1:8" ht="15" customHeight="1">
      <c r="A1005" s="335"/>
      <c r="B1005" s="336"/>
      <c r="C1005" s="66"/>
      <c r="D1005" s="66"/>
      <c r="E1005" s="119">
        <f>SUM(E1007:E1012)</f>
        <v>12.472</v>
      </c>
      <c r="H1005" s="1"/>
    </row>
    <row r="1006" spans="1:18" ht="15" customHeight="1">
      <c r="A1006" s="347" t="s">
        <v>5</v>
      </c>
      <c r="B1006" s="348"/>
      <c r="C1006" s="64" t="s">
        <v>17</v>
      </c>
      <c r="D1006" s="65" t="s">
        <v>18</v>
      </c>
      <c r="E1006" s="68" t="s">
        <v>7</v>
      </c>
      <c r="G1006" s="170" t="str">
        <f>CONCATENATE("Misc. Healthy parts/ Non Ferrous  Scrap, Lying at ",C1007,". Quantity in MT - ")</f>
        <v>Misc. Healthy parts/ Non Ferrous  Scrap, Lying at TRY Ferozepur. Quantity in MT - </v>
      </c>
      <c r="H1006" s="427" t="str">
        <f ca="1">CONCATENATE(G1006,G1007,(INDIRECT(I1007)),(INDIRECT(J1007)),(INDIRECT(K1007)),(INDIRECT(L1007)),(INDIRECT(M1007)),(INDIRECT(N1007)),(INDIRECT(O1007)),(INDIRECT(P1007)),(INDIRECT(Q1007)),(INDIRECT(R1007)),".")</f>
        <v>Misc. Healthy parts/ Non Ferrous  Scrap, Lying at TRY Ferozepur. Quantity in MT - Brass scrap - 5.28, Misc. Aluminium scrap - 0.941, Iron scrap - 0.668, Burnt Cu scrap - 0.239, Nuts &amp; Bolts scrap - 4.174, Teen Patra scrap - 1.17, .</v>
      </c>
      <c r="I1006" s="98" t="str">
        <f aca="true" ca="1" t="array" ref="I1006">CELL("address",INDEX(G1006:G1028,MATCH(TRUE,ISBLANK(G1006:G1028),0)))</f>
        <v>$G$1013</v>
      </c>
      <c r="J1006" s="98">
        <f aca="true" t="array" ref="J1006">MATCH(TRUE,ISBLANK(G1006:G1028),0)</f>
        <v>8</v>
      </c>
      <c r="K1006" s="98">
        <f>J1006-3</f>
        <v>5</v>
      </c>
      <c r="L1006" s="98"/>
      <c r="M1006" s="98"/>
      <c r="N1006" s="98"/>
      <c r="O1006" s="98"/>
      <c r="P1006" s="98"/>
      <c r="Q1006" s="98"/>
      <c r="R1006" s="98"/>
    </row>
    <row r="1007" spans="1:18" ht="15" customHeight="1">
      <c r="A1007" s="329" t="s">
        <v>110</v>
      </c>
      <c r="B1007" s="329"/>
      <c r="C1007" s="327" t="s">
        <v>42</v>
      </c>
      <c r="D1007" s="279" t="s">
        <v>23</v>
      </c>
      <c r="E1007" s="288">
        <v>5.28</v>
      </c>
      <c r="F1007" s="1">
        <v>5.187</v>
      </c>
      <c r="G1007" s="102" t="str">
        <f aca="true" t="shared" si="6" ref="G1007:G1012">CONCATENATE(D1007," - ",E1007,", ")</f>
        <v>Brass scrap - 5.28, </v>
      </c>
      <c r="H1007" s="427"/>
      <c r="I1007" s="98" t="str">
        <f ca="1">IF(J1006&gt;=3,(MID(I1006,2,1)&amp;MID(I1006,4,4)-K1006),CELL("address",Z1007))</f>
        <v>G1008</v>
      </c>
      <c r="J1007" s="98" t="str">
        <f ca="1">IF(J1006&gt;=4,(MID(I1007,1,1)&amp;MID(I1007,2,4)+1),CELL("address",AA1007))</f>
        <v>G1009</v>
      </c>
      <c r="K1007" s="98" t="str">
        <f ca="1">IF(J1006&gt;=5,(MID(J1007,1,1)&amp;MID(J1007,2,4)+1),CELL("address",AB1007))</f>
        <v>G1010</v>
      </c>
      <c r="L1007" s="98" t="str">
        <f ca="1">IF(J1006&gt;=6,(MID(K1007,1,1)&amp;MID(K1007,2,4)+1),CELL("address",AC1007))</f>
        <v>G1011</v>
      </c>
      <c r="M1007" s="98" t="str">
        <f ca="1">IF(J1006&gt;=7,(MID(L1007,1,1)&amp;MID(L1007,2,4)+1),CELL("address",AD1007))</f>
        <v>G1012</v>
      </c>
      <c r="N1007" s="98" t="str">
        <f ca="1">IF(J1006&gt;=8,(MID(M1007,1,1)&amp;MID(M1007,2,4)+1),CELL("address",AE1007))</f>
        <v>G1013</v>
      </c>
      <c r="O1007" s="98" t="str">
        <f ca="1">IF(J1006&gt;=9,(MID(N1007,1,1)&amp;MID(N1007,2,4)+1),CELL("address",AF1007))</f>
        <v>$AF$1007</v>
      </c>
      <c r="P1007" s="98" t="str">
        <f ca="1">IF(J1006&gt;=10,(MID(O1007,1,1)&amp;MID(O1007,2,4)+1),CELL("address",AG1007))</f>
        <v>$AG$1007</v>
      </c>
      <c r="Q1007" s="98" t="str">
        <f ca="1">IF(J1006&gt;=11,(MID(P1007,1,1)&amp;MID(P1007,2,4)+1),CELL("address",AH1007))</f>
        <v>$AH$1007</v>
      </c>
      <c r="R1007" s="98" t="str">
        <f ca="1">IF(J1006&gt;=12,(MID(Q1007,1,1)&amp;MID(Q1007,2,4)+1),CELL("address",AI1007))</f>
        <v>$AI$1007</v>
      </c>
    </row>
    <row r="1008" spans="1:8" ht="15" customHeight="1">
      <c r="A1008" s="329"/>
      <c r="B1008" s="329"/>
      <c r="C1008" s="327"/>
      <c r="D1008" s="279" t="s">
        <v>24</v>
      </c>
      <c r="E1008" s="288">
        <v>0.941</v>
      </c>
      <c r="F1008" s="1">
        <v>0.926</v>
      </c>
      <c r="G1008" s="102" t="str">
        <f t="shared" si="6"/>
        <v>Misc. Aluminium scrap - 0.941, </v>
      </c>
      <c r="H1008" s="1"/>
    </row>
    <row r="1009" spans="1:15" ht="15" customHeight="1">
      <c r="A1009" s="329"/>
      <c r="B1009" s="329"/>
      <c r="C1009" s="327"/>
      <c r="D1009" s="279" t="s">
        <v>27</v>
      </c>
      <c r="E1009" s="297">
        <v>0.668</v>
      </c>
      <c r="F1009" s="98">
        <v>0.651</v>
      </c>
      <c r="G1009" s="102" t="str">
        <f t="shared" si="6"/>
        <v>Iron scrap - 0.668, </v>
      </c>
      <c r="H1009" s="426"/>
      <c r="I1009" s="98"/>
      <c r="J1009" s="98"/>
      <c r="K1009" s="98"/>
      <c r="L1009" s="98"/>
      <c r="M1009" s="98"/>
      <c r="N1009" s="98"/>
      <c r="O1009" s="98"/>
    </row>
    <row r="1010" spans="1:15" ht="15" customHeight="1">
      <c r="A1010" s="329"/>
      <c r="B1010" s="329"/>
      <c r="C1010" s="327"/>
      <c r="D1010" s="279" t="s">
        <v>37</v>
      </c>
      <c r="E1010" s="297">
        <v>0.239</v>
      </c>
      <c r="F1010" s="98">
        <v>0.235</v>
      </c>
      <c r="G1010" s="102" t="str">
        <f t="shared" si="6"/>
        <v>Burnt Cu scrap - 0.239, </v>
      </c>
      <c r="H1010" s="426"/>
      <c r="I1010" s="98" t="e">
        <f ca="1">IF(G1009&gt;=6,(MID(H1010,1,1)&amp;MID(H1010,2,4)+1),CELL("address",Z1010))</f>
        <v>#VALUE!</v>
      </c>
      <c r="J1010" s="98" t="e">
        <f ca="1">IF(G1009&gt;=7,(MID(I1010,1,1)&amp;MID(I1010,2,4)+1),CELL("address",AA1010))</f>
        <v>#VALUE!</v>
      </c>
      <c r="K1010" s="98" t="e">
        <f ca="1">IF(G1009&gt;=8,(MID(J1010,1,1)&amp;MID(J1010,2,4)+1),CELL("address",AB1010))</f>
        <v>#VALUE!</v>
      </c>
      <c r="L1010" s="98" t="e">
        <f ca="1">IF(G1009&gt;=9,(MID(K1010,1,1)&amp;MID(K1010,2,4)+1),CELL("address",AC1010))</f>
        <v>#VALUE!</v>
      </c>
      <c r="M1010" s="98" t="e">
        <f ca="1">IF(G1009&gt;=10,(MID(L1010,1,1)&amp;MID(L1010,2,4)+1),CELL("address",AD1010))</f>
        <v>#VALUE!</v>
      </c>
      <c r="N1010" s="98" t="e">
        <f ca="1">IF(G1009&gt;=11,(MID(M1010,1,1)&amp;MID(M1010,2,4)+1),CELL("address",AE1010))</f>
        <v>#VALUE!</v>
      </c>
      <c r="O1010" s="98" t="e">
        <f ca="1">IF(G1009&gt;=12,(MID(N1010,1,1)&amp;MID(N1010,2,4)+1),CELL("address",AF1010))</f>
        <v>#VALUE!</v>
      </c>
    </row>
    <row r="1011" spans="1:8" ht="15" customHeight="1">
      <c r="A1011" s="329"/>
      <c r="B1011" s="329"/>
      <c r="C1011" s="327"/>
      <c r="D1011" s="279" t="s">
        <v>58</v>
      </c>
      <c r="E1011" s="297">
        <v>4.174</v>
      </c>
      <c r="F1011" s="1">
        <v>4.092</v>
      </c>
      <c r="G1011" s="102" t="str">
        <f t="shared" si="6"/>
        <v>Nuts &amp; Bolts scrap - 4.174, </v>
      </c>
      <c r="H1011" s="1"/>
    </row>
    <row r="1012" spans="1:8" ht="15" customHeight="1">
      <c r="A1012" s="329"/>
      <c r="B1012" s="329"/>
      <c r="C1012" s="327"/>
      <c r="D1012" s="279" t="s">
        <v>64</v>
      </c>
      <c r="E1012" s="299">
        <v>1.17</v>
      </c>
      <c r="F1012" s="1">
        <v>0.45</v>
      </c>
      <c r="G1012" s="102" t="str">
        <f t="shared" si="6"/>
        <v>Teen Patra scrap - 1.17, </v>
      </c>
      <c r="H1012" s="1"/>
    </row>
    <row r="1013" spans="1:8" ht="15" customHeight="1">
      <c r="A1013" s="39"/>
      <c r="B1013" s="42"/>
      <c r="C1013" s="212"/>
      <c r="D1013" s="40"/>
      <c r="E1013" s="169"/>
      <c r="H1013" s="1"/>
    </row>
    <row r="1014" spans="1:8" ht="15" customHeight="1">
      <c r="A1014" s="335"/>
      <c r="B1014" s="336"/>
      <c r="C1014" s="66"/>
      <c r="D1014" s="66"/>
      <c r="E1014" s="119">
        <f>SUM(E1016:E1020)</f>
        <v>3.727</v>
      </c>
      <c r="F1014" s="121"/>
      <c r="H1014" s="1"/>
    </row>
    <row r="1015" spans="1:18" ht="15" customHeight="1">
      <c r="A1015" s="329" t="s">
        <v>5</v>
      </c>
      <c r="B1015" s="329"/>
      <c r="C1015" s="64" t="s">
        <v>17</v>
      </c>
      <c r="D1015" s="65" t="s">
        <v>18</v>
      </c>
      <c r="E1015" s="68" t="s">
        <v>7</v>
      </c>
      <c r="G1015" s="170" t="str">
        <f>CONCATENATE("Misc. Healthy parts/ Non Ferrous  Scrap, Lying at ",C1016,". Quantity in MT - ")</f>
        <v>Misc. Healthy parts/ Non Ferrous  Scrap, Lying at OL store Ropar. Quantity in MT - </v>
      </c>
      <c r="H1015" s="427" t="str">
        <f ca="1">CONCATENATE(G1015,G1016,(INDIRECT(I1016)),(INDIRECT(J1016)),(INDIRECT(K1016)),(INDIRECT(L1016)),(INDIRECT(M1016)),(INDIRECT(N1016)),(INDIRECT(O1016)),(INDIRECT(P1016)),(INDIRECT(Q1016)),(INDIRECT(R1016)),".")</f>
        <v>Misc. Healthy parts/ Non Ferrous  Scrap, Lying at OL store Ropar. Quantity in MT - Brass scrap - 2.473, Misc. Aluminium scrap - 0.346, Burnt Cu scrap - 0.298, All Alumn. Conductor Scrap - 0.343, Misc. Copper scrap - 0.267, .</v>
      </c>
      <c r="I1015" s="98" t="str">
        <f aca="true" ca="1" t="array" ref="I1015">CELL("address",INDEX(G1015:G1037,MATCH(TRUE,ISBLANK(G1015:G1037),0)))</f>
        <v>$G$1021</v>
      </c>
      <c r="J1015" s="98">
        <f aca="true" t="array" ref="J1015">MATCH(TRUE,ISBLANK(G1015:G1037),0)</f>
        <v>7</v>
      </c>
      <c r="K1015" s="98">
        <f>J1015-3</f>
        <v>4</v>
      </c>
      <c r="L1015" s="98"/>
      <c r="M1015" s="98"/>
      <c r="N1015" s="98"/>
      <c r="O1015" s="98"/>
      <c r="P1015" s="98"/>
      <c r="Q1015" s="98"/>
      <c r="R1015" s="98"/>
    </row>
    <row r="1016" spans="1:18" ht="15" customHeight="1">
      <c r="A1016" s="347" t="s">
        <v>26</v>
      </c>
      <c r="B1016" s="348"/>
      <c r="C1016" s="337" t="s">
        <v>46</v>
      </c>
      <c r="D1016" s="40" t="s">
        <v>23</v>
      </c>
      <c r="E1016" s="69">
        <v>2.473</v>
      </c>
      <c r="G1016" s="102" t="str">
        <f>CONCATENATE(D1016," - ",E1016,", ")</f>
        <v>Brass scrap - 2.473, </v>
      </c>
      <c r="H1016" s="427"/>
      <c r="I1016" s="98" t="str">
        <f ca="1">IF(J1015&gt;=3,(MID(I1015,2,1)&amp;MID(I1015,4,4)-K1015),CELL("address",Z1016))</f>
        <v>G1017</v>
      </c>
      <c r="J1016" s="98" t="str">
        <f ca="1">IF(J1015&gt;=4,(MID(I1016,1,1)&amp;MID(I1016,2,4)+1),CELL("address",AA1016))</f>
        <v>G1018</v>
      </c>
      <c r="K1016" s="98" t="str">
        <f ca="1">IF(J1015&gt;=5,(MID(J1016,1,1)&amp;MID(J1016,2,4)+1),CELL("address",AB1016))</f>
        <v>G1019</v>
      </c>
      <c r="L1016" s="98" t="str">
        <f ca="1">IF(J1015&gt;=6,(MID(K1016,1,1)&amp;MID(K1016,2,4)+1),CELL("address",AC1016))</f>
        <v>G1020</v>
      </c>
      <c r="M1016" s="98" t="str">
        <f ca="1">IF(J1015&gt;=7,(MID(L1016,1,1)&amp;MID(L1016,2,4)+1),CELL("address",AD1016))</f>
        <v>G1021</v>
      </c>
      <c r="N1016" s="98" t="str">
        <f ca="1">IF(J1015&gt;=8,(MID(M1016,1,1)&amp;MID(M1016,2,4)+1),CELL("address",AE1016))</f>
        <v>$AE$1016</v>
      </c>
      <c r="O1016" s="98" t="str">
        <f ca="1">IF(J1015&gt;=9,(MID(N1016,1,1)&amp;MID(N1016,2,4)+1),CELL("address",AF1016))</f>
        <v>$AF$1016</v>
      </c>
      <c r="P1016" s="98" t="str">
        <f ca="1">IF(J1015&gt;=10,(MID(O1016,1,1)&amp;MID(O1016,2,4)+1),CELL("address",AG1016))</f>
        <v>$AG$1016</v>
      </c>
      <c r="Q1016" s="98" t="str">
        <f ca="1">IF(J1015&gt;=11,(MID(P1016,1,1)&amp;MID(P1016,2,4)+1),CELL("address",AH1016))</f>
        <v>$AH$1016</v>
      </c>
      <c r="R1016" s="98" t="str">
        <f ca="1">IF(J1015&gt;=12,(MID(Q1016,1,1)&amp;MID(Q1016,2,4)+1),CELL("address",AI1016))</f>
        <v>$AI$1016</v>
      </c>
    </row>
    <row r="1017" spans="1:15" ht="15" customHeight="1">
      <c r="A1017" s="352"/>
      <c r="B1017" s="353"/>
      <c r="C1017" s="338"/>
      <c r="D1017" s="40" t="s">
        <v>24</v>
      </c>
      <c r="E1017" s="69">
        <v>0.346</v>
      </c>
      <c r="F1017" s="98"/>
      <c r="G1017" s="102" t="str">
        <f>CONCATENATE(D1017," - ",E1017,", ")</f>
        <v>Misc. Aluminium scrap - 0.346, </v>
      </c>
      <c r="H1017" s="426"/>
      <c r="I1017" s="98"/>
      <c r="J1017" s="98"/>
      <c r="K1017" s="98"/>
      <c r="L1017" s="98"/>
      <c r="M1017" s="98"/>
      <c r="N1017" s="98"/>
      <c r="O1017" s="98"/>
    </row>
    <row r="1018" spans="1:15" ht="15" customHeight="1">
      <c r="A1018" s="352"/>
      <c r="B1018" s="353"/>
      <c r="C1018" s="338"/>
      <c r="D1018" s="39" t="s">
        <v>37</v>
      </c>
      <c r="E1018" s="69">
        <v>0.298</v>
      </c>
      <c r="F1018" s="98"/>
      <c r="G1018" s="102" t="str">
        <f>CONCATENATE(D1018," - ",E1018,", ")</f>
        <v>Burnt Cu scrap - 0.298, </v>
      </c>
      <c r="H1018" s="426"/>
      <c r="I1018" s="98" t="e">
        <f ca="1">IF(G1017&gt;=6,(MID(H1018,1,1)&amp;MID(H1018,2,4)+1),CELL("address",Z1018))</f>
        <v>#VALUE!</v>
      </c>
      <c r="J1018" s="98" t="e">
        <f ca="1">IF(G1017&gt;=7,(MID(I1018,1,1)&amp;MID(I1018,2,4)+1),CELL("address",AA1018))</f>
        <v>#VALUE!</v>
      </c>
      <c r="K1018" s="98" t="e">
        <f ca="1">IF(G1017&gt;=8,(MID(J1018,1,1)&amp;MID(J1018,2,4)+1),CELL("address",AB1018))</f>
        <v>#VALUE!</v>
      </c>
      <c r="L1018" s="98" t="e">
        <f ca="1">IF(G1017&gt;=9,(MID(K1018,1,1)&amp;MID(K1018,2,4)+1),CELL("address",AC1018))</f>
        <v>#VALUE!</v>
      </c>
      <c r="M1018" s="98" t="e">
        <f ca="1">IF(G1017&gt;=10,(MID(L1018,1,1)&amp;MID(L1018,2,4)+1),CELL("address",AD1018))</f>
        <v>#VALUE!</v>
      </c>
      <c r="N1018" s="98" t="e">
        <f ca="1">IF(G1017&gt;=11,(MID(M1018,1,1)&amp;MID(M1018,2,4)+1),CELL("address",AE1018))</f>
        <v>#VALUE!</v>
      </c>
      <c r="O1018" s="98" t="e">
        <f ca="1">IF(G1017&gt;=12,(MID(N1018,1,1)&amp;MID(N1018,2,4)+1),CELL("address",AF1018))</f>
        <v>#VALUE!</v>
      </c>
    </row>
    <row r="1019" spans="1:8" ht="15" customHeight="1">
      <c r="A1019" s="352"/>
      <c r="B1019" s="353"/>
      <c r="C1019" s="338"/>
      <c r="D1019" s="34" t="s">
        <v>32</v>
      </c>
      <c r="E1019" s="315">
        <v>0.343</v>
      </c>
      <c r="F1019" s="1">
        <v>0.317</v>
      </c>
      <c r="G1019" s="102" t="str">
        <f>CONCATENATE(D1019," - ",E1019,", ")</f>
        <v>All Alumn. Conductor Scrap - 0.343, </v>
      </c>
      <c r="H1019" s="1"/>
    </row>
    <row r="1020" spans="1:8" ht="15" customHeight="1">
      <c r="A1020" s="354"/>
      <c r="B1020" s="355"/>
      <c r="C1020" s="339"/>
      <c r="D1020" s="312" t="s">
        <v>45</v>
      </c>
      <c r="E1020" s="315">
        <v>0.267</v>
      </c>
      <c r="F1020" s="1">
        <v>0.238</v>
      </c>
      <c r="G1020" s="102" t="str">
        <f>CONCATENATE(D1020," - ",E1020,", ")</f>
        <v>Misc. Copper scrap - 0.267, </v>
      </c>
      <c r="H1020" s="1"/>
    </row>
    <row r="1021" spans="1:8" ht="15" customHeight="1">
      <c r="A1021" s="50"/>
      <c r="B1021" s="59"/>
      <c r="C1021" s="216"/>
      <c r="D1021" s="40"/>
      <c r="E1021" s="69"/>
      <c r="H1021" s="1"/>
    </row>
    <row r="1022" spans="1:15" ht="15" customHeight="1">
      <c r="A1022" s="335"/>
      <c r="B1022" s="336"/>
      <c r="C1022" s="66"/>
      <c r="D1022" s="66"/>
      <c r="E1022" s="119">
        <f>SUM(E1024:E1025)</f>
        <v>2.408</v>
      </c>
      <c r="F1022" s="98"/>
      <c r="G1022" s="98"/>
      <c r="H1022" s="426"/>
      <c r="I1022" s="98"/>
      <c r="J1022" s="98"/>
      <c r="K1022" s="98"/>
      <c r="L1022" s="98"/>
      <c r="M1022" s="98"/>
      <c r="N1022" s="98"/>
      <c r="O1022" s="98"/>
    </row>
    <row r="1023" spans="1:18" ht="15" customHeight="1">
      <c r="A1023" s="329" t="s">
        <v>5</v>
      </c>
      <c r="B1023" s="329"/>
      <c r="C1023" s="64" t="s">
        <v>17</v>
      </c>
      <c r="D1023" s="65" t="s">
        <v>18</v>
      </c>
      <c r="E1023" s="68" t="s">
        <v>7</v>
      </c>
      <c r="F1023" s="98"/>
      <c r="G1023" s="170" t="str">
        <f>CONCATENATE("Misc. Healthy parts/ Non Ferrous  Scrap, Lying at ",C1024,". Quantity in MT - ")</f>
        <v>Misc. Healthy parts/ Non Ferrous  Scrap, Lying at TRY Ferozepur. Quantity in MT - </v>
      </c>
      <c r="H1023" s="427" t="str">
        <f ca="1">CONCATENATE(G1023,G1024,(INDIRECT(I1024)),(INDIRECT(J1024)),(INDIRECT(K1024)),(INDIRECT(L1024)),(INDIRECT(M1024)),(INDIRECT(N1024)),(INDIRECT(O1024)),(INDIRECT(P1024)),(INDIRECT(Q1024)),(INDIRECT(R1024)),".")</f>
        <v>Misc. Healthy parts/ Non Ferrous  Scrap, Lying at TRY Ferozepur. Quantity in MT - Brass scrap - 2.09, Misc. Alumn. Scrap - 0.318, .</v>
      </c>
      <c r="I1023" s="98" t="str">
        <f aca="true" ca="1" t="array" ref="I1023">CELL("address",INDEX(G1023:G1045,MATCH(TRUE,ISBLANK(G1023:G1045),0)))</f>
        <v>$G$1026</v>
      </c>
      <c r="J1023" s="98">
        <f aca="true" t="array" ref="J1023">MATCH(TRUE,ISBLANK(G1023:G1045),0)</f>
        <v>4</v>
      </c>
      <c r="K1023" s="98">
        <f>J1023-3</f>
        <v>1</v>
      </c>
      <c r="L1023" s="98"/>
      <c r="M1023" s="98"/>
      <c r="N1023" s="98"/>
      <c r="O1023" s="98"/>
      <c r="P1023" s="98"/>
      <c r="Q1023" s="98"/>
      <c r="R1023" s="98"/>
    </row>
    <row r="1024" spans="1:18" ht="18" customHeight="1">
      <c r="A1024" s="329" t="s">
        <v>38</v>
      </c>
      <c r="B1024" s="329"/>
      <c r="C1024" s="327" t="s">
        <v>42</v>
      </c>
      <c r="D1024" s="45" t="s">
        <v>23</v>
      </c>
      <c r="E1024" s="120">
        <v>2.09</v>
      </c>
      <c r="G1024" s="102" t="str">
        <f>CONCATENATE(D1024," - ",E1024,", ")</f>
        <v>Brass scrap - 2.09, </v>
      </c>
      <c r="H1024" s="427"/>
      <c r="I1024" s="98" t="str">
        <f ca="1">IF(J1023&gt;=3,(MID(I1023,2,1)&amp;MID(I1023,4,4)-K1023),CELL("address",Z1024))</f>
        <v>G1025</v>
      </c>
      <c r="J1024" s="98" t="str">
        <f ca="1">IF(J1023&gt;=4,(MID(I1024,1,1)&amp;MID(I1024,2,4)+1),CELL("address",AA1024))</f>
        <v>G1026</v>
      </c>
      <c r="K1024" s="98" t="str">
        <f ca="1">IF(J1023&gt;=5,(MID(J1024,1,1)&amp;MID(J1024,2,4)+1),CELL("address",AB1024))</f>
        <v>$AB$1024</v>
      </c>
      <c r="L1024" s="98" t="str">
        <f ca="1">IF(J1023&gt;=6,(MID(K1024,1,1)&amp;MID(K1024,2,4)+1),CELL("address",AC1024))</f>
        <v>$AC$1024</v>
      </c>
      <c r="M1024" s="98" t="str">
        <f ca="1">IF(J1023&gt;=7,(MID(L1024,1,1)&amp;MID(L1024,2,4)+1),CELL("address",AD1024))</f>
        <v>$AD$1024</v>
      </c>
      <c r="N1024" s="98" t="str">
        <f ca="1">IF(J1023&gt;=8,(MID(M1024,1,1)&amp;MID(M1024,2,4)+1),CELL("address",AE1024))</f>
        <v>$AE$1024</v>
      </c>
      <c r="O1024" s="98" t="str">
        <f ca="1">IF(J1023&gt;=9,(MID(N1024,1,1)&amp;MID(N1024,2,4)+1),CELL("address",AF1024))</f>
        <v>$AF$1024</v>
      </c>
      <c r="P1024" s="98" t="str">
        <f ca="1">IF(J1023&gt;=10,(MID(O1024,1,1)&amp;MID(O1024,2,4)+1),CELL("address",AG1024))</f>
        <v>$AG$1024</v>
      </c>
      <c r="Q1024" s="98" t="str">
        <f ca="1">IF(J1023&gt;=11,(MID(P1024,1,1)&amp;MID(P1024,2,4)+1),CELL("address",AH1024))</f>
        <v>$AH$1024</v>
      </c>
      <c r="R1024" s="98" t="str">
        <f ca="1">IF(J1023&gt;=12,(MID(Q1024,1,1)&amp;MID(Q1024,2,4)+1),CELL("address",AI1024))</f>
        <v>$AI$1024</v>
      </c>
    </row>
    <row r="1025" spans="1:8" ht="19.5" customHeight="1">
      <c r="A1025" s="329"/>
      <c r="B1025" s="329"/>
      <c r="C1025" s="327"/>
      <c r="D1025" s="45" t="s">
        <v>31</v>
      </c>
      <c r="E1025" s="120">
        <v>0.318</v>
      </c>
      <c r="G1025" s="102" t="str">
        <f>CONCATENATE(D1025," - ",E1025,", ")</f>
        <v>Misc. Alumn. Scrap - 0.318, </v>
      </c>
      <c r="H1025" s="1"/>
    </row>
    <row r="1026" spans="1:8" ht="15" customHeight="1">
      <c r="A1026" s="325"/>
      <c r="B1026" s="326"/>
      <c r="C1026" s="212"/>
      <c r="D1026" s="45"/>
      <c r="E1026" s="120"/>
      <c r="H1026" s="1"/>
    </row>
    <row r="1027" spans="1:8" ht="15" customHeight="1">
      <c r="A1027" s="335"/>
      <c r="B1027" s="336"/>
      <c r="C1027" s="66"/>
      <c r="D1027" s="66"/>
      <c r="E1027" s="119">
        <f>SUM(E1029:E1032)</f>
        <v>3.033</v>
      </c>
      <c r="H1027" s="1"/>
    </row>
    <row r="1028" spans="1:18" ht="15" customHeight="1">
      <c r="A1028" s="325" t="s">
        <v>5</v>
      </c>
      <c r="B1028" s="326"/>
      <c r="C1028" s="64" t="s">
        <v>17</v>
      </c>
      <c r="D1028" s="65" t="s">
        <v>18</v>
      </c>
      <c r="E1028" s="68" t="s">
        <v>7</v>
      </c>
      <c r="G1028" s="170" t="str">
        <f>CONCATENATE("Misc. Healthy parts/ Non Ferrous  Scrap, Lying at ",C1029,". Quantity in MT - ")</f>
        <v>Misc. Healthy parts/ Non Ferrous  Scrap, Lying at TRY Malerkotla. Quantity in MT - </v>
      </c>
      <c r="H1028" s="427" t="str">
        <f ca="1">CONCATENATE(G1028,G1029,(INDIRECT(I1029)),(INDIRECT(J1029)),(INDIRECT(K1029)),(INDIRECT(L1029)),(INDIRECT(M1029)),(INDIRECT(N1029)),(INDIRECT(O1029)),(INDIRECT(P1029)),(INDIRECT(Q1029)),(INDIRECT(R1029)),".")</f>
        <v>Misc. Healthy parts/ Non Ferrous  Scrap, Lying at TRY Malerkotla. Quantity in MT - Brass scrap - 2.37, Misc. Aluminium scrap - 0.195, Burnt Aluminium scrap - 0.313, Burnt Cu scrap - 0.155, .</v>
      </c>
      <c r="I1028" s="98" t="str">
        <f aca="true" ca="1" t="array" ref="I1028">CELL("address",INDEX(G1028:G1050,MATCH(TRUE,ISBLANK(G1028:G1050),0)))</f>
        <v>$G$1033</v>
      </c>
      <c r="J1028" s="98">
        <f aca="true" t="array" ref="J1028">MATCH(TRUE,ISBLANK(G1028:G1050),0)</f>
        <v>6</v>
      </c>
      <c r="K1028" s="98">
        <f>J1028-3</f>
        <v>3</v>
      </c>
      <c r="L1028" s="98"/>
      <c r="M1028" s="98"/>
      <c r="N1028" s="98"/>
      <c r="O1028" s="98"/>
      <c r="P1028" s="98"/>
      <c r="Q1028" s="98"/>
      <c r="R1028" s="98"/>
    </row>
    <row r="1029" spans="1:18" ht="15" customHeight="1">
      <c r="A1029" s="328" t="s">
        <v>48</v>
      </c>
      <c r="B1029" s="328"/>
      <c r="C1029" s="327" t="s">
        <v>28</v>
      </c>
      <c r="D1029" s="289" t="s">
        <v>23</v>
      </c>
      <c r="E1029" s="291">
        <v>2.37</v>
      </c>
      <c r="F1029" s="98">
        <v>2.114</v>
      </c>
      <c r="G1029" s="102" t="str">
        <f>CONCATENATE(D1029," - ",E1029,", ")</f>
        <v>Brass scrap - 2.37, </v>
      </c>
      <c r="H1029" s="427"/>
      <c r="I1029" s="98" t="str">
        <f ca="1">IF(J1028&gt;=3,(MID(I1028,2,1)&amp;MID(I1028,4,4)-K1028),CELL("address",Z1029))</f>
        <v>G1030</v>
      </c>
      <c r="J1029" s="98" t="str">
        <f ca="1">IF(J1028&gt;=4,(MID(I1029,1,1)&amp;MID(I1029,2,4)+1),CELL("address",AA1029))</f>
        <v>G1031</v>
      </c>
      <c r="K1029" s="98" t="str">
        <f ca="1">IF(J1028&gt;=5,(MID(J1029,1,1)&amp;MID(J1029,2,4)+1),CELL("address",AB1029))</f>
        <v>G1032</v>
      </c>
      <c r="L1029" s="98" t="str">
        <f ca="1">IF(J1028&gt;=6,(MID(K1029,1,1)&amp;MID(K1029,2,4)+1),CELL("address",AC1029))</f>
        <v>G1033</v>
      </c>
      <c r="M1029" s="98" t="str">
        <f ca="1">IF(J1028&gt;=7,(MID(L1029,1,1)&amp;MID(L1029,2,4)+1),CELL("address",AD1029))</f>
        <v>$AD$1029</v>
      </c>
      <c r="N1029" s="98" t="str">
        <f ca="1">IF(J1028&gt;=8,(MID(M1029,1,1)&amp;MID(M1029,2,4)+1),CELL("address",AE1029))</f>
        <v>$AE$1029</v>
      </c>
      <c r="O1029" s="98" t="str">
        <f ca="1">IF(J1028&gt;=9,(MID(N1029,1,1)&amp;MID(N1029,2,4)+1),CELL("address",AF1029))</f>
        <v>$AF$1029</v>
      </c>
      <c r="P1029" s="98" t="str">
        <f ca="1">IF(J1028&gt;=10,(MID(O1029,1,1)&amp;MID(O1029,2,4)+1),CELL("address",AG1029))</f>
        <v>$AG$1029</v>
      </c>
      <c r="Q1029" s="98" t="str">
        <f ca="1">IF(J1028&gt;=11,(MID(P1029,1,1)&amp;MID(P1029,2,4)+1),CELL("address",AH1029))</f>
        <v>$AH$1029</v>
      </c>
      <c r="R1029" s="98" t="str">
        <f ca="1">IF(J1028&gt;=12,(MID(Q1029,1,1)&amp;MID(Q1029,2,4)+1),CELL("address",AI1029))</f>
        <v>$AI$1029</v>
      </c>
    </row>
    <row r="1030" spans="1:15" ht="15" customHeight="1">
      <c r="A1030" s="328"/>
      <c r="B1030" s="328"/>
      <c r="C1030" s="327"/>
      <c r="D1030" s="289" t="s">
        <v>24</v>
      </c>
      <c r="E1030" s="291">
        <v>0.195</v>
      </c>
      <c r="F1030" s="98">
        <v>0.183</v>
      </c>
      <c r="G1030" s="102" t="str">
        <f>CONCATENATE(D1030," - ",E1030,", ")</f>
        <v>Misc. Aluminium scrap - 0.195, </v>
      </c>
      <c r="H1030" s="426"/>
      <c r="I1030" s="98" t="e">
        <f ca="1">IF(G1029&gt;=6,(MID(H1030,1,1)&amp;MID(H1030,2,4)+1),CELL("address",Z1030))</f>
        <v>#VALUE!</v>
      </c>
      <c r="J1030" s="98" t="e">
        <f ca="1">IF(G1029&gt;=7,(MID(I1030,1,1)&amp;MID(I1030,2,4)+1),CELL("address",AA1030))</f>
        <v>#VALUE!</v>
      </c>
      <c r="K1030" s="98" t="e">
        <f ca="1">IF(G1029&gt;=8,(MID(J1030,1,1)&amp;MID(J1030,2,4)+1),CELL("address",AB1030))</f>
        <v>#VALUE!</v>
      </c>
      <c r="L1030" s="98" t="e">
        <f ca="1">IF(G1029&gt;=9,(MID(K1030,1,1)&amp;MID(K1030,2,4)+1),CELL("address",AC1030))</f>
        <v>#VALUE!</v>
      </c>
      <c r="M1030" s="98" t="e">
        <f ca="1">IF(G1029&gt;=10,(MID(L1030,1,1)&amp;MID(L1030,2,4)+1),CELL("address",AD1030))</f>
        <v>#VALUE!</v>
      </c>
      <c r="N1030" s="98" t="e">
        <f ca="1">IF(G1029&gt;=11,(MID(M1030,1,1)&amp;MID(M1030,2,4)+1),CELL("address",AE1030))</f>
        <v>#VALUE!</v>
      </c>
      <c r="O1030" s="98" t="e">
        <f ca="1">IF(G1029&gt;=12,(MID(N1030,1,1)&amp;MID(N1030,2,4)+1),CELL("address",AF1030))</f>
        <v>#VALUE!</v>
      </c>
    </row>
    <row r="1031" spans="1:8" ht="15" customHeight="1">
      <c r="A1031" s="328"/>
      <c r="B1031" s="328"/>
      <c r="C1031" s="327"/>
      <c r="D1031" s="289" t="s">
        <v>41</v>
      </c>
      <c r="E1031" s="291">
        <v>0.313</v>
      </c>
      <c r="F1031" s="1">
        <v>0.287</v>
      </c>
      <c r="G1031" s="102" t="str">
        <f>CONCATENATE(D1031," - ",E1031,", ")</f>
        <v>Burnt Aluminium scrap - 0.313, </v>
      </c>
      <c r="H1031" s="1"/>
    </row>
    <row r="1032" spans="1:8" ht="15" customHeight="1">
      <c r="A1032" s="328"/>
      <c r="B1032" s="328"/>
      <c r="C1032" s="327"/>
      <c r="D1032" s="289" t="s">
        <v>37</v>
      </c>
      <c r="E1032" s="297">
        <v>0.155</v>
      </c>
      <c r="F1032" s="1">
        <v>0.145</v>
      </c>
      <c r="G1032" s="102" t="str">
        <f>CONCATENATE(D1032," - ",E1032,", ")</f>
        <v>Burnt Cu scrap - 0.155, </v>
      </c>
      <c r="H1032" s="1"/>
    </row>
    <row r="1033" spans="1:8" ht="15" customHeight="1">
      <c r="A1033" s="39"/>
      <c r="B1033" s="42"/>
      <c r="C1033" s="212"/>
      <c r="D1033" s="40"/>
      <c r="E1033" s="68"/>
      <c r="H1033" s="1"/>
    </row>
    <row r="1034" spans="1:8" ht="15" customHeight="1">
      <c r="A1034" s="335"/>
      <c r="B1034" s="336"/>
      <c r="C1034" s="66"/>
      <c r="D1034" s="66"/>
      <c r="E1034" s="119">
        <f>SUM(E1036:E1039)</f>
        <v>0.418</v>
      </c>
      <c r="H1034" s="1"/>
    </row>
    <row r="1035" spans="1:18" ht="15" customHeight="1">
      <c r="A1035" s="329" t="s">
        <v>5</v>
      </c>
      <c r="B1035" s="329"/>
      <c r="C1035" s="64" t="s">
        <v>17</v>
      </c>
      <c r="D1035" s="65" t="s">
        <v>18</v>
      </c>
      <c r="E1035" s="68" t="s">
        <v>7</v>
      </c>
      <c r="G1035" s="170" t="str">
        <f>CONCATENATE("Misc. Healthy parts/ Non Ferrous  Scrap, Lying at ",C1036,". Quantity in MT - ")</f>
        <v>Misc. Healthy parts/ Non Ferrous  Scrap, Lying at CS Mohali. Quantity in MT - </v>
      </c>
      <c r="H1035" s="427" t="str">
        <f ca="1">CONCATENATE(G1035,G1036,(INDIRECT(I1036)),(INDIRECT(J1036)),(INDIRECT(K1036)),(INDIRECT(L1036)),(INDIRECT(M1036)),(INDIRECT(N1036)),(INDIRECT(O1036)),(INDIRECT(P1036)),(INDIRECT(Q1036)),(INDIRECT(R1036)),".")</f>
        <v>Misc. Healthy parts/ Non Ferrous  Scrap, Lying at CS Mohali. Quantity in MT - Misc. Copper scrap - 0.313, Burnt Cu scrap - 0.041, All Alumn. Conductor Scrap - 0.054, Brass scrap - 0.01, .</v>
      </c>
      <c r="I1035" s="98" t="str">
        <f aca="true" ca="1" t="array" ref="I1035">CELL("address",INDEX(G1035:G1058,MATCH(TRUE,ISBLANK(G1035:G1058),0)))</f>
        <v>$G$1040</v>
      </c>
      <c r="J1035" s="98">
        <f aca="true" t="array" ref="J1035">MATCH(TRUE,ISBLANK(G1035:G1058),0)</f>
        <v>6</v>
      </c>
      <c r="K1035" s="98">
        <f>J1035-3</f>
        <v>3</v>
      </c>
      <c r="L1035" s="98"/>
      <c r="M1035" s="98"/>
      <c r="N1035" s="98"/>
      <c r="O1035" s="98"/>
      <c r="P1035" s="98"/>
      <c r="Q1035" s="98"/>
      <c r="R1035" s="98"/>
    </row>
    <row r="1036" spans="1:18" ht="15" customHeight="1">
      <c r="A1036" s="328" t="s">
        <v>39</v>
      </c>
      <c r="B1036" s="328"/>
      <c r="C1036" s="327" t="s">
        <v>62</v>
      </c>
      <c r="D1036" s="40" t="s">
        <v>45</v>
      </c>
      <c r="E1036" s="69">
        <v>0.313</v>
      </c>
      <c r="F1036" s="98"/>
      <c r="G1036" s="102" t="str">
        <f>CONCATENATE(D1036," - ",E1036,", ")</f>
        <v>Misc. Copper scrap - 0.313, </v>
      </c>
      <c r="H1036" s="427"/>
      <c r="I1036" s="98" t="str">
        <f ca="1">IF(J1035&gt;=3,(MID(I1035,2,1)&amp;MID(I1035,4,4)-K1035),CELL("address",Z1036))</f>
        <v>G1037</v>
      </c>
      <c r="J1036" s="98" t="str">
        <f ca="1">IF(J1035&gt;=4,(MID(I1036,1,1)&amp;MID(I1036,2,4)+1),CELL("address",AA1036))</f>
        <v>G1038</v>
      </c>
      <c r="K1036" s="98" t="str">
        <f ca="1">IF(J1035&gt;=5,(MID(J1036,1,1)&amp;MID(J1036,2,4)+1),CELL("address",AB1036))</f>
        <v>G1039</v>
      </c>
      <c r="L1036" s="98" t="str">
        <f ca="1">IF(J1035&gt;=6,(MID(K1036,1,1)&amp;MID(K1036,2,4)+1),CELL("address",AC1036))</f>
        <v>G1040</v>
      </c>
      <c r="M1036" s="98" t="str">
        <f ca="1">IF(J1035&gt;=7,(MID(L1036,1,1)&amp;MID(L1036,2,4)+1),CELL("address",AD1036))</f>
        <v>$AD$1036</v>
      </c>
      <c r="N1036" s="98" t="str">
        <f ca="1">IF(J1035&gt;=8,(MID(M1036,1,1)&amp;MID(M1036,2,4)+1),CELL("address",AE1036))</f>
        <v>$AE$1036</v>
      </c>
      <c r="O1036" s="98" t="str">
        <f ca="1">IF(J1035&gt;=9,(MID(N1036,1,1)&amp;MID(N1036,2,4)+1),CELL("address",AF1036))</f>
        <v>$AF$1036</v>
      </c>
      <c r="P1036" s="98" t="str">
        <f ca="1">IF(J1035&gt;=10,(MID(O1036,1,1)&amp;MID(O1036,2,4)+1),CELL("address",AG1036))</f>
        <v>$AG$1036</v>
      </c>
      <c r="Q1036" s="98" t="str">
        <f ca="1">IF(J1035&gt;=11,(MID(P1036,1,1)&amp;MID(P1036,2,4)+1),CELL("address",AH1036))</f>
        <v>$AH$1036</v>
      </c>
      <c r="R1036" s="98" t="str">
        <f ca="1">IF(J1035&gt;=12,(MID(Q1036,1,1)&amp;MID(Q1036,2,4)+1),CELL("address",AI1036))</f>
        <v>$AI$1036</v>
      </c>
    </row>
    <row r="1037" spans="1:15" ht="15" customHeight="1">
      <c r="A1037" s="328"/>
      <c r="B1037" s="328"/>
      <c r="C1037" s="327"/>
      <c r="D1037" s="39" t="s">
        <v>37</v>
      </c>
      <c r="E1037" s="69">
        <v>0.041</v>
      </c>
      <c r="F1037" s="98"/>
      <c r="G1037" s="102" t="str">
        <f>CONCATENATE(D1037," - ",E1037,", ")</f>
        <v>Burnt Cu scrap - 0.041, </v>
      </c>
      <c r="H1037" s="426"/>
      <c r="I1037" s="98" t="e">
        <f ca="1">IF(G1036&gt;=6,(MID(H1037,1,1)&amp;MID(H1037,2,4)+1),CELL("address",Z1037))</f>
        <v>#VALUE!</v>
      </c>
      <c r="J1037" s="98" t="e">
        <f ca="1">IF(G1036&gt;=7,(MID(I1037,1,1)&amp;MID(I1037,2,4)+1),CELL("address",AA1037))</f>
        <v>#VALUE!</v>
      </c>
      <c r="K1037" s="98" t="e">
        <f ca="1">IF(G1036&gt;=8,(MID(J1037,1,1)&amp;MID(J1037,2,4)+1),CELL("address",AB1037))</f>
        <v>#VALUE!</v>
      </c>
      <c r="L1037" s="98" t="e">
        <f ca="1">IF(G1036&gt;=9,(MID(K1037,1,1)&amp;MID(K1037,2,4)+1),CELL("address",AC1037))</f>
        <v>#VALUE!</v>
      </c>
      <c r="M1037" s="98" t="e">
        <f ca="1">IF(G1036&gt;=10,(MID(L1037,1,1)&amp;MID(L1037,2,4)+1),CELL("address",AD1037))</f>
        <v>#VALUE!</v>
      </c>
      <c r="N1037" s="98" t="e">
        <f ca="1">IF(G1036&gt;=11,(MID(M1037,1,1)&amp;MID(M1037,2,4)+1),CELL("address",AE1037))</f>
        <v>#VALUE!</v>
      </c>
      <c r="O1037" s="98" t="e">
        <f ca="1">IF(G1036&gt;=12,(MID(N1037,1,1)&amp;MID(N1037,2,4)+1),CELL("address",AF1037))</f>
        <v>#VALUE!</v>
      </c>
    </row>
    <row r="1038" spans="1:8" ht="15" customHeight="1">
      <c r="A1038" s="328"/>
      <c r="B1038" s="328"/>
      <c r="C1038" s="327"/>
      <c r="D1038" s="45" t="s">
        <v>32</v>
      </c>
      <c r="E1038" s="69">
        <v>0.054</v>
      </c>
      <c r="G1038" s="102" t="str">
        <f>CONCATENATE(D1038," - ",E1038,", ")</f>
        <v>All Alumn. Conductor Scrap - 0.054, </v>
      </c>
      <c r="H1038" s="1"/>
    </row>
    <row r="1039" spans="1:8" ht="15" customHeight="1">
      <c r="A1039" s="328"/>
      <c r="B1039" s="328"/>
      <c r="C1039" s="327"/>
      <c r="D1039" s="40" t="s">
        <v>23</v>
      </c>
      <c r="E1039" s="69">
        <v>0.01</v>
      </c>
      <c r="G1039" s="102" t="str">
        <f>CONCATENATE(D1039," - ",E1039,", ")</f>
        <v>Brass scrap - 0.01, </v>
      </c>
      <c r="H1039" s="1"/>
    </row>
    <row r="1040" spans="1:15" ht="15" customHeight="1">
      <c r="A1040" s="39"/>
      <c r="B1040" s="42"/>
      <c r="C1040" s="212"/>
      <c r="D1040" s="40"/>
      <c r="E1040" s="69"/>
      <c r="F1040" s="98"/>
      <c r="G1040" s="98"/>
      <c r="H1040" s="426"/>
      <c r="I1040" s="98"/>
      <c r="J1040" s="98"/>
      <c r="K1040" s="98"/>
      <c r="L1040" s="98"/>
      <c r="M1040" s="98"/>
      <c r="N1040" s="98"/>
      <c r="O1040" s="98"/>
    </row>
    <row r="1041" spans="1:15" ht="15" customHeight="1">
      <c r="A1041" s="325"/>
      <c r="B1041" s="326"/>
      <c r="C1041" s="212"/>
      <c r="D1041" s="40"/>
      <c r="E1041" s="119">
        <f>E1043</f>
        <v>0.092</v>
      </c>
      <c r="F1041" s="197"/>
      <c r="G1041" s="98"/>
      <c r="H1041" s="426"/>
      <c r="I1041" s="98" t="str">
        <f ca="1">IF(G1040&gt;=6,(MID(H1041,1,1)&amp;MID(H1041,2,4)+1),CELL("address",Z1041))</f>
        <v>$Z$1041</v>
      </c>
      <c r="J1041" s="98" t="str">
        <f ca="1">IF(G1040&gt;=7,(MID(I1041,1,1)&amp;MID(I1041,2,4)+1),CELL("address",AA1041))</f>
        <v>$AA$1041</v>
      </c>
      <c r="K1041" s="98" t="str">
        <f ca="1">IF(G1040&gt;=8,(MID(J1041,1,1)&amp;MID(J1041,2,4)+1),CELL("address",AB1041))</f>
        <v>$AB$1041</v>
      </c>
      <c r="L1041" s="98" t="str">
        <f ca="1">IF(G1040&gt;=9,(MID(K1041,1,1)&amp;MID(K1041,2,4)+1),CELL("address",AC1041))</f>
        <v>$AC$1041</v>
      </c>
      <c r="M1041" s="98" t="str">
        <f ca="1">IF(G1040&gt;=10,(MID(L1041,1,1)&amp;MID(L1041,2,4)+1),CELL("address",AD1041))</f>
        <v>$AD$1041</v>
      </c>
      <c r="N1041" s="98" t="str">
        <f ca="1">IF(G1040&gt;=11,(MID(M1041,1,1)&amp;MID(M1041,2,4)+1),CELL("address",AE1041))</f>
        <v>$AE$1041</v>
      </c>
      <c r="O1041" s="98" t="str">
        <f ca="1">IF(G1040&gt;=12,(MID(N1041,1,1)&amp;MID(N1041,2,4)+1),CELL("address",AF1041))</f>
        <v>$AF$1041</v>
      </c>
    </row>
    <row r="1042" spans="1:18" ht="15" customHeight="1">
      <c r="A1042" s="329" t="s">
        <v>5</v>
      </c>
      <c r="B1042" s="329"/>
      <c r="C1042" s="64" t="s">
        <v>17</v>
      </c>
      <c r="D1042" s="65" t="s">
        <v>18</v>
      </c>
      <c r="E1042" s="68" t="s">
        <v>7</v>
      </c>
      <c r="G1042" s="170" t="str">
        <f>CONCATENATE("Misc. Healthy parts/ Non Ferrous  Scrap, Lying at ",C1043,". Quantity in MT - ")</f>
        <v>Misc. Healthy parts/ Non Ferrous  Scrap, Lying at OL store Patran. Quantity in MT - </v>
      </c>
      <c r="H1042" s="427" t="str">
        <f ca="1">CONCATENATE(G1042,G1043,(INDIRECT(I1043)),(INDIRECT(J1043)),(INDIRECT(K1043)),(INDIRECT(L1043)),(INDIRECT(M1043)),(INDIRECT(N1043)),(INDIRECT(O1043)),(INDIRECT(P1043)),(INDIRECT(Q1043)),(INDIRECT(R1043)),".")</f>
        <v>Misc. Healthy parts/ Non Ferrous  Scrap, Lying at OL store Patran. Quantity in MT - Misc. Copper scrap - 0.092, .</v>
      </c>
      <c r="I1042" s="98" t="str">
        <f aca="true" ca="1" t="array" ref="I1042">CELL("address",INDEX(G1042:G1065,MATCH(TRUE,ISBLANK(G1042:G1065),0)))</f>
        <v>$G$1044</v>
      </c>
      <c r="J1042" s="98">
        <f aca="true" t="array" ref="J1042">MATCH(TRUE,ISBLANK(G1042:G1065),0)</f>
        <v>3</v>
      </c>
      <c r="K1042" s="98">
        <f>J1042-3</f>
        <v>0</v>
      </c>
      <c r="L1042" s="98"/>
      <c r="M1042" s="98"/>
      <c r="N1042" s="98"/>
      <c r="O1042" s="98"/>
      <c r="P1042" s="98"/>
      <c r="Q1042" s="98"/>
      <c r="R1042" s="98"/>
    </row>
    <row r="1043" spans="1:18" ht="15" customHeight="1">
      <c r="A1043" s="329" t="s">
        <v>40</v>
      </c>
      <c r="B1043" s="329"/>
      <c r="C1043" s="212" t="s">
        <v>101</v>
      </c>
      <c r="D1043" s="40" t="s">
        <v>45</v>
      </c>
      <c r="E1043" s="69">
        <v>0.092</v>
      </c>
      <c r="G1043" s="102" t="str">
        <f>CONCATENATE(D1043," - ",E1043,", ")</f>
        <v>Misc. Copper scrap - 0.092, </v>
      </c>
      <c r="H1043" s="427"/>
      <c r="I1043" s="98" t="str">
        <f ca="1">IF(J1042&gt;=3,(MID(I1042,2,1)&amp;MID(I1042,4,4)-K1042),CELL("address",Z1043))</f>
        <v>G1044</v>
      </c>
      <c r="J1043" s="98" t="str">
        <f ca="1">IF(J1042&gt;=4,(MID(I1043,1,1)&amp;MID(I1043,2,4)+1),CELL("address",AA1043))</f>
        <v>$AA$1043</v>
      </c>
      <c r="K1043" s="98" t="str">
        <f ca="1">IF(J1042&gt;=5,(MID(J1043,1,1)&amp;MID(J1043,2,4)+1),CELL("address",AB1043))</f>
        <v>$AB$1043</v>
      </c>
      <c r="L1043" s="98" t="str">
        <f ca="1">IF(J1042&gt;=6,(MID(K1043,1,1)&amp;MID(K1043,2,4)+1),CELL("address",AC1043))</f>
        <v>$AC$1043</v>
      </c>
      <c r="M1043" s="98" t="str">
        <f ca="1">IF(J1042&gt;=7,(MID(L1043,1,1)&amp;MID(L1043,2,4)+1),CELL("address",AD1043))</f>
        <v>$AD$1043</v>
      </c>
      <c r="N1043" s="98" t="str">
        <f ca="1">IF(J1042&gt;=8,(MID(M1043,1,1)&amp;MID(M1043,2,4)+1),CELL("address",AE1043))</f>
        <v>$AE$1043</v>
      </c>
      <c r="O1043" s="98" t="str">
        <f ca="1">IF(J1042&gt;=9,(MID(N1043,1,1)&amp;MID(N1043,2,4)+1),CELL("address",AF1043))</f>
        <v>$AF$1043</v>
      </c>
      <c r="P1043" s="98" t="str">
        <f ca="1">IF(J1042&gt;=10,(MID(O1043,1,1)&amp;MID(O1043,2,4)+1),CELL("address",AG1043))</f>
        <v>$AG$1043</v>
      </c>
      <c r="Q1043" s="98" t="str">
        <f ca="1">IF(J1042&gt;=11,(MID(P1043,1,1)&amp;MID(P1043,2,4)+1),CELL("address",AH1043))</f>
        <v>$AH$1043</v>
      </c>
      <c r="R1043" s="98" t="str">
        <f ca="1">IF(J1042&gt;=12,(MID(Q1043,1,1)&amp;MID(Q1043,2,4)+1),CELL("address",AI1043))</f>
        <v>$AI$1043</v>
      </c>
    </row>
    <row r="1044" spans="1:8" ht="15" customHeight="1">
      <c r="A1044" s="50"/>
      <c r="B1044" s="59"/>
      <c r="C1044" s="216"/>
      <c r="D1044" s="40"/>
      <c r="E1044" s="46"/>
      <c r="H1044" s="1"/>
    </row>
    <row r="1045" spans="1:8" ht="15" customHeight="1">
      <c r="A1045" s="50"/>
      <c r="B1045" s="59"/>
      <c r="C1045" s="216"/>
      <c r="D1045" s="45"/>
      <c r="E1045" s="67">
        <f>SUM(E1047:E1051)</f>
        <v>1.0750000000000002</v>
      </c>
      <c r="F1045" s="121"/>
      <c r="H1045" s="1"/>
    </row>
    <row r="1046" spans="1:18" ht="15" customHeight="1">
      <c r="A1046" s="329" t="s">
        <v>5</v>
      </c>
      <c r="B1046" s="329"/>
      <c r="C1046" s="64" t="s">
        <v>17</v>
      </c>
      <c r="D1046" s="65" t="s">
        <v>18</v>
      </c>
      <c r="E1046" s="64" t="s">
        <v>7</v>
      </c>
      <c r="G1046" s="170" t="str">
        <f>CONCATENATE("Misc. Healthy parts/ Non Ferrous  Scrap, Lying at ",C1047,". Quantity in MT - ")</f>
        <v>Misc. Healthy parts/ Non Ferrous  Scrap, Lying at CS Patiala. Quantity in MT - </v>
      </c>
      <c r="H1046" s="427" t="str">
        <f ca="1">CONCATENATE(G1046,G1047,(INDIRECT(I1047)),(INDIRECT(J1047)),(INDIRECT(K1047)),(INDIRECT(L1047)),(INDIRECT(M1047)),(INDIRECT(N1047)),(INDIRECT(O1047)),(INDIRECT(P1047)),(INDIRECT(Q1047)),(INDIRECT(R1047)),".")</f>
        <v>Misc. Healthy parts/ Non Ferrous  Scrap, Lying at CS Patiala. Quantity in MT - Misc. Alumn. Scrap - 0.105, Misc. copper scrap - 0.219, Burnt copper scrap - 0.022, Brass scrap - 0.653, All Alumn. Conductor Scrap - 0.076, .</v>
      </c>
      <c r="I1046" s="98" t="str">
        <f aca="true" ca="1" t="array" ref="I1046">CELL("address",INDEX(G1046:G1069,MATCH(TRUE,ISBLANK(G1046:G1069),0)))</f>
        <v>$G$1052</v>
      </c>
      <c r="J1046" s="98">
        <f aca="true" t="array" ref="J1046">MATCH(TRUE,ISBLANK(G1046:G1069),0)</f>
        <v>7</v>
      </c>
      <c r="K1046" s="98">
        <f>J1046-3</f>
        <v>4</v>
      </c>
      <c r="L1046" s="98"/>
      <c r="M1046" s="98"/>
      <c r="N1046" s="98"/>
      <c r="O1046" s="98"/>
      <c r="P1046" s="98"/>
      <c r="Q1046" s="98"/>
      <c r="R1046" s="98"/>
    </row>
    <row r="1047" spans="1:18" ht="15" customHeight="1">
      <c r="A1047" s="328" t="s">
        <v>80</v>
      </c>
      <c r="B1047" s="328"/>
      <c r="C1047" s="327" t="s">
        <v>52</v>
      </c>
      <c r="D1047" s="253" t="s">
        <v>31</v>
      </c>
      <c r="E1047" s="49">
        <v>0.105</v>
      </c>
      <c r="F1047" s="98">
        <v>0.101</v>
      </c>
      <c r="G1047" s="102" t="str">
        <f>CONCATENATE(D1047," - ",E1047,", ")</f>
        <v>Misc. Alumn. Scrap - 0.105, </v>
      </c>
      <c r="H1047" s="427"/>
      <c r="I1047" s="98" t="str">
        <f ca="1">IF(J1046&gt;=3,(MID(I1046,2,1)&amp;MID(I1046,4,4)-K1046),CELL("address",Z1047))</f>
        <v>G1048</v>
      </c>
      <c r="J1047" s="98" t="str">
        <f ca="1">IF(J1046&gt;=4,(MID(I1047,1,1)&amp;MID(I1047,2,4)+1),CELL("address",AA1047))</f>
        <v>G1049</v>
      </c>
      <c r="K1047" s="98" t="str">
        <f ca="1">IF(J1046&gt;=5,(MID(J1047,1,1)&amp;MID(J1047,2,4)+1),CELL("address",AB1047))</f>
        <v>G1050</v>
      </c>
      <c r="L1047" s="98" t="str">
        <f ca="1">IF(J1046&gt;=6,(MID(K1047,1,1)&amp;MID(K1047,2,4)+1),CELL("address",AC1047))</f>
        <v>G1051</v>
      </c>
      <c r="M1047" s="98" t="str">
        <f ca="1">IF(J1046&gt;=7,(MID(L1047,1,1)&amp;MID(L1047,2,4)+1),CELL("address",AD1047))</f>
        <v>G1052</v>
      </c>
      <c r="N1047" s="98" t="str">
        <f ca="1">IF(J1046&gt;=8,(MID(M1047,1,1)&amp;MID(M1047,2,4)+1),CELL("address",AE1047))</f>
        <v>$AE$1047</v>
      </c>
      <c r="O1047" s="98" t="str">
        <f ca="1">IF(J1046&gt;=9,(MID(N1047,1,1)&amp;MID(N1047,2,4)+1),CELL("address",AF1047))</f>
        <v>$AF$1047</v>
      </c>
      <c r="P1047" s="98" t="str">
        <f ca="1">IF(J1046&gt;=10,(MID(O1047,1,1)&amp;MID(O1047,2,4)+1),CELL("address",AG1047))</f>
        <v>$AG$1047</v>
      </c>
      <c r="Q1047" s="98" t="str">
        <f ca="1">IF(J1046&gt;=11,(MID(P1047,1,1)&amp;MID(P1047,2,4)+1),CELL("address",AH1047))</f>
        <v>$AH$1047</v>
      </c>
      <c r="R1047" s="98" t="str">
        <f ca="1">IF(J1046&gt;=12,(MID(Q1047,1,1)&amp;MID(Q1047,2,4)+1),CELL("address",AI1047))</f>
        <v>$AI$1047</v>
      </c>
    </row>
    <row r="1048" spans="1:15" ht="15" customHeight="1">
      <c r="A1048" s="328"/>
      <c r="B1048" s="328"/>
      <c r="C1048" s="327"/>
      <c r="D1048" s="253" t="s">
        <v>111</v>
      </c>
      <c r="E1048" s="296">
        <v>0.219</v>
      </c>
      <c r="F1048" s="98">
        <v>0.218</v>
      </c>
      <c r="G1048" s="102" t="str">
        <f>CONCATENATE(D1048," - ",E1048,", ")</f>
        <v>Misc. copper scrap - 0.219, </v>
      </c>
      <c r="H1048" s="426"/>
      <c r="I1048" s="98" t="e">
        <f ca="1">IF(G1047&gt;=6,(MID(H1048,1,1)&amp;MID(H1048,2,4)+1),CELL("address",Z1048))</f>
        <v>#VALUE!</v>
      </c>
      <c r="J1048" s="98" t="e">
        <f ca="1">IF(G1047&gt;=7,(MID(I1048,1,1)&amp;MID(I1048,2,4)+1),CELL("address",AA1048))</f>
        <v>#VALUE!</v>
      </c>
      <c r="K1048" s="98" t="e">
        <f ca="1">IF(G1047&gt;=8,(MID(J1048,1,1)&amp;MID(J1048,2,4)+1),CELL("address",AB1048))</f>
        <v>#VALUE!</v>
      </c>
      <c r="L1048" s="98" t="e">
        <f ca="1">IF(G1047&gt;=9,(MID(K1048,1,1)&amp;MID(K1048,2,4)+1),CELL("address",AC1048))</f>
        <v>#VALUE!</v>
      </c>
      <c r="M1048" s="98" t="e">
        <f ca="1">IF(G1047&gt;=10,(MID(L1048,1,1)&amp;MID(L1048,2,4)+1),CELL("address",AD1048))</f>
        <v>#VALUE!</v>
      </c>
      <c r="N1048" s="98" t="e">
        <f ca="1">IF(G1047&gt;=11,(MID(M1048,1,1)&amp;MID(M1048,2,4)+1),CELL("address",AE1048))</f>
        <v>#VALUE!</v>
      </c>
      <c r="O1048" s="98" t="e">
        <f ca="1">IF(G1047&gt;=12,(MID(N1048,1,1)&amp;MID(N1048,2,4)+1),CELL("address",AF1048))</f>
        <v>#VALUE!</v>
      </c>
    </row>
    <row r="1049" spans="1:8" ht="15" customHeight="1">
      <c r="A1049" s="328"/>
      <c r="B1049" s="328"/>
      <c r="C1049" s="327"/>
      <c r="D1049" s="60" t="s">
        <v>47</v>
      </c>
      <c r="E1049" s="64">
        <v>0.022</v>
      </c>
      <c r="F1049" s="1">
        <v>0.022</v>
      </c>
      <c r="G1049" s="102" t="str">
        <f>CONCATENATE(D1049," - ",E1049,", ")</f>
        <v>Burnt copper scrap - 0.022, </v>
      </c>
      <c r="H1049" s="1"/>
    </row>
    <row r="1050" spans="1:8" ht="15" customHeight="1">
      <c r="A1050" s="328"/>
      <c r="B1050" s="328"/>
      <c r="C1050" s="327"/>
      <c r="D1050" s="40" t="s">
        <v>23</v>
      </c>
      <c r="E1050" s="64">
        <v>0.653</v>
      </c>
      <c r="F1050" s="1">
        <v>0.653</v>
      </c>
      <c r="G1050" s="102" t="str">
        <f>CONCATENATE(D1050," - ",E1050,", ")</f>
        <v>Brass scrap - 0.653, </v>
      </c>
      <c r="H1050" s="1"/>
    </row>
    <row r="1051" spans="1:8" ht="15" customHeight="1">
      <c r="A1051" s="328"/>
      <c r="B1051" s="328"/>
      <c r="C1051" s="327"/>
      <c r="D1051" s="34" t="s">
        <v>32</v>
      </c>
      <c r="E1051" s="296">
        <v>0.076</v>
      </c>
      <c r="F1051" s="1">
        <v>0.028</v>
      </c>
      <c r="G1051" s="203" t="str">
        <f>CONCATENATE(D1051," - ",E1051,", ")</f>
        <v>All Alumn. Conductor Scrap - 0.076, </v>
      </c>
      <c r="H1051" s="1"/>
    </row>
    <row r="1052" spans="1:8" ht="15" customHeight="1">
      <c r="A1052" s="205"/>
      <c r="B1052" s="206"/>
      <c r="C1052" s="204"/>
      <c r="D1052" s="60"/>
      <c r="E1052" s="64"/>
      <c r="H1052" s="1"/>
    </row>
    <row r="1053" spans="1:8" ht="15" customHeight="1">
      <c r="A1053" s="335"/>
      <c r="B1053" s="336"/>
      <c r="C1053" s="66"/>
      <c r="D1053" s="66"/>
      <c r="E1053" s="67">
        <f>SUM(E1055:E1062)</f>
        <v>4.923</v>
      </c>
      <c r="H1053" s="1"/>
    </row>
    <row r="1054" spans="1:18" ht="15" customHeight="1">
      <c r="A1054" s="347" t="s">
        <v>5</v>
      </c>
      <c r="B1054" s="348"/>
      <c r="C1054" s="64" t="s">
        <v>17</v>
      </c>
      <c r="D1054" s="65" t="s">
        <v>18</v>
      </c>
      <c r="E1054" s="68" t="s">
        <v>7</v>
      </c>
      <c r="G1054" s="170" t="str">
        <f>CONCATENATE("Misc. Healthy parts/ Non Ferrous  Scrap, Lying at ",C1055,". Quantity in MT - ")</f>
        <v>Misc. Healthy parts/ Non Ferrous  Scrap, Lying at CS Kotkapura. Quantity in MT - </v>
      </c>
      <c r="H1054" s="427" t="str">
        <f ca="1">CONCATENATE(G1054,G1055,(INDIRECT(I1055)),(INDIRECT(J1055)),(INDIRECT(K1055)),(INDIRECT(L1055)),(INDIRECT(M1055)),(INDIRECT(N1055)),(INDIRECT(O1055)),(INDIRECT(P1055)),(INDIRECT(Q1055)),(INDIRECT(R1055)),".")</f>
        <v>Misc. Healthy parts/ Non Ferrous  Scrap, Lying at CS Kotkapura. Quantity in MT - Brass scrap - 4.046, Misc. Copper scrap - 0.066, Burnt Cu scrap - 0.325, Misc. Aluminium scrap - 0.205, Burnt Aluminium scrap - 0.055, All Alum scrap - 0.09, Alu scrap of damaged T/F accessories - 0.096, Copper scrap - 0.04, .</v>
      </c>
      <c r="I1054" s="98" t="str">
        <f aca="true" ca="1" t="array" ref="I1054">CELL("address",INDEX(G1054:G1076,MATCH(TRUE,ISBLANK(G1054:G1076),0)))</f>
        <v>$G$1063</v>
      </c>
      <c r="J1054" s="98">
        <f aca="true" t="array" ref="J1054">MATCH(TRUE,ISBLANK(G1054:G1076),0)</f>
        <v>10</v>
      </c>
      <c r="K1054" s="98">
        <f>J1054-3</f>
        <v>7</v>
      </c>
      <c r="L1054" s="98"/>
      <c r="M1054" s="98"/>
      <c r="N1054" s="98"/>
      <c r="O1054" s="98"/>
      <c r="P1054" s="98"/>
      <c r="Q1054" s="98"/>
      <c r="R1054" s="98"/>
    </row>
    <row r="1055" spans="1:18" ht="15" customHeight="1">
      <c r="A1055" s="328" t="s">
        <v>610</v>
      </c>
      <c r="B1055" s="328"/>
      <c r="C1055" s="327" t="s">
        <v>43</v>
      </c>
      <c r="D1055" s="40" t="s">
        <v>23</v>
      </c>
      <c r="E1055" s="69">
        <v>4.046</v>
      </c>
      <c r="G1055" s="102" t="str">
        <f aca="true" t="shared" si="7" ref="G1055:G1062">CONCATENATE(D1055," - ",E1055,", ")</f>
        <v>Brass scrap - 4.046, </v>
      </c>
      <c r="H1055" s="427"/>
      <c r="I1055" s="98" t="str">
        <f ca="1">IF(J1054&gt;=3,(MID(I1054,2,1)&amp;MID(I1054,4,4)-K1054),CELL("address",Z1055))</f>
        <v>G1056</v>
      </c>
      <c r="J1055" s="98" t="str">
        <f ca="1">IF(J1054&gt;=4,(MID(I1055,1,1)&amp;MID(I1055,2,4)+1),CELL("address",AA1055))</f>
        <v>G1057</v>
      </c>
      <c r="K1055" s="98" t="str">
        <f ca="1">IF(J1054&gt;=5,(MID(J1055,1,1)&amp;MID(J1055,2,4)+1),CELL("address",AB1055))</f>
        <v>G1058</v>
      </c>
      <c r="L1055" s="98" t="str">
        <f ca="1">IF(J1054&gt;=6,(MID(K1055,1,1)&amp;MID(K1055,2,4)+1),CELL("address",AC1055))</f>
        <v>G1059</v>
      </c>
      <c r="M1055" s="98" t="str">
        <f ca="1">IF(J1054&gt;=7,(MID(L1055,1,1)&amp;MID(L1055,2,4)+1),CELL("address",AD1055))</f>
        <v>G1060</v>
      </c>
      <c r="N1055" s="98" t="str">
        <f ca="1">IF(J1054&gt;=8,(MID(M1055,1,1)&amp;MID(M1055,2,4)+1),CELL("address",AE1055))</f>
        <v>G1061</v>
      </c>
      <c r="O1055" s="98" t="str">
        <f ca="1">IF(J1054&gt;=9,(MID(N1055,1,1)&amp;MID(N1055,2,4)+1),CELL("address",AF1055))</f>
        <v>G1062</v>
      </c>
      <c r="P1055" s="98" t="str">
        <f ca="1">IF(J1054&gt;=10,(MID(O1055,1,1)&amp;MID(O1055,2,4)+1),CELL("address",AG1055))</f>
        <v>G1063</v>
      </c>
      <c r="Q1055" s="98" t="str">
        <f ca="1">IF(J1054&gt;=11,(MID(P1055,1,1)&amp;MID(P1055,2,4)+1),CELL("address",AH1055))</f>
        <v>$AH$1055</v>
      </c>
      <c r="R1055" s="98" t="str">
        <f ca="1">IF(J1054&gt;=12,(MID(Q1055,1,1)&amp;MID(Q1055,2,4)+1),CELL("address",AI1055))</f>
        <v>$AI$1055</v>
      </c>
    </row>
    <row r="1056" spans="1:8" ht="15" customHeight="1">
      <c r="A1056" s="328"/>
      <c r="B1056" s="328"/>
      <c r="C1056" s="327"/>
      <c r="D1056" s="40" t="s">
        <v>45</v>
      </c>
      <c r="E1056" s="69">
        <v>0.066</v>
      </c>
      <c r="G1056" s="102" t="str">
        <f t="shared" si="7"/>
        <v>Misc. Copper scrap - 0.066, </v>
      </c>
      <c r="H1056" s="1"/>
    </row>
    <row r="1057" spans="1:8" ht="15" customHeight="1">
      <c r="A1057" s="328"/>
      <c r="B1057" s="328"/>
      <c r="C1057" s="327"/>
      <c r="D1057" s="39" t="s">
        <v>37</v>
      </c>
      <c r="E1057" s="69">
        <v>0.325</v>
      </c>
      <c r="G1057" s="102" t="str">
        <f t="shared" si="7"/>
        <v>Burnt Cu scrap - 0.325, </v>
      </c>
      <c r="H1057" s="1"/>
    </row>
    <row r="1058" spans="1:8" ht="15" customHeight="1">
      <c r="A1058" s="328"/>
      <c r="B1058" s="328"/>
      <c r="C1058" s="327"/>
      <c r="D1058" s="40" t="s">
        <v>24</v>
      </c>
      <c r="E1058" s="69">
        <v>0.205</v>
      </c>
      <c r="G1058" s="102" t="str">
        <f t="shared" si="7"/>
        <v>Misc. Aluminium scrap - 0.205, </v>
      </c>
      <c r="H1058" s="1"/>
    </row>
    <row r="1059" spans="1:15" ht="15" customHeight="1">
      <c r="A1059" s="328"/>
      <c r="B1059" s="328"/>
      <c r="C1059" s="327"/>
      <c r="D1059" s="39" t="s">
        <v>41</v>
      </c>
      <c r="E1059" s="69">
        <v>0.055</v>
      </c>
      <c r="F1059" s="98"/>
      <c r="G1059" s="102" t="str">
        <f t="shared" si="7"/>
        <v>Burnt Aluminium scrap - 0.055, </v>
      </c>
      <c r="H1059" s="426"/>
      <c r="I1059" s="98"/>
      <c r="J1059" s="98"/>
      <c r="K1059" s="98"/>
      <c r="L1059" s="98"/>
      <c r="M1059" s="98"/>
      <c r="N1059" s="98"/>
      <c r="O1059" s="98"/>
    </row>
    <row r="1060" spans="1:15" ht="15" customHeight="1">
      <c r="A1060" s="328"/>
      <c r="B1060" s="328"/>
      <c r="C1060" s="327"/>
      <c r="D1060" s="39" t="s">
        <v>384</v>
      </c>
      <c r="E1060" s="69">
        <v>0.09</v>
      </c>
      <c r="F1060" s="98"/>
      <c r="G1060" s="102" t="str">
        <f t="shared" si="7"/>
        <v>All Alum scrap - 0.09, </v>
      </c>
      <c r="H1060" s="426"/>
      <c r="I1060" s="98" t="e">
        <f ca="1">IF(G1059&gt;=6,(MID(H1060,1,1)&amp;MID(H1060,2,4)+1),CELL("address",Z1060))</f>
        <v>#VALUE!</v>
      </c>
      <c r="J1060" s="98" t="e">
        <f ca="1">IF(G1059&gt;=7,(MID(I1060,1,1)&amp;MID(I1060,2,4)+1),CELL("address",AA1060))</f>
        <v>#VALUE!</v>
      </c>
      <c r="K1060" s="98" t="e">
        <f ca="1">IF(G1059&gt;=8,(MID(J1060,1,1)&amp;MID(J1060,2,4)+1),CELL("address",AB1060))</f>
        <v>#VALUE!</v>
      </c>
      <c r="L1060" s="98" t="e">
        <f ca="1">IF(G1059&gt;=9,(MID(K1060,1,1)&amp;MID(K1060,2,4)+1),CELL("address",AC1060))</f>
        <v>#VALUE!</v>
      </c>
      <c r="M1060" s="98" t="e">
        <f ca="1">IF(G1059&gt;=10,(MID(L1060,1,1)&amp;MID(L1060,2,4)+1),CELL("address",AD1060))</f>
        <v>#VALUE!</v>
      </c>
      <c r="N1060" s="98" t="e">
        <f ca="1">IF(G1059&gt;=11,(MID(M1060,1,1)&amp;MID(M1060,2,4)+1),CELL("address",AE1060))</f>
        <v>#VALUE!</v>
      </c>
      <c r="O1060" s="98" t="e">
        <f ca="1">IF(G1059&gt;=12,(MID(N1060,1,1)&amp;MID(N1060,2,4)+1),CELL("address",AF1060))</f>
        <v>#VALUE!</v>
      </c>
    </row>
    <row r="1061" spans="1:8" ht="15" customHeight="1">
      <c r="A1061" s="328"/>
      <c r="B1061" s="328"/>
      <c r="C1061" s="327"/>
      <c r="D1061" s="39" t="s">
        <v>385</v>
      </c>
      <c r="E1061" s="69">
        <v>0.096</v>
      </c>
      <c r="G1061" s="102" t="str">
        <f t="shared" si="7"/>
        <v>Alu scrap of damaged T/F accessories - 0.096, </v>
      </c>
      <c r="H1061" s="1"/>
    </row>
    <row r="1062" spans="1:8" ht="15" customHeight="1">
      <c r="A1062" s="328"/>
      <c r="B1062" s="328"/>
      <c r="C1062" s="327"/>
      <c r="D1062" s="39" t="s">
        <v>386</v>
      </c>
      <c r="E1062" s="69">
        <v>0.04</v>
      </c>
      <c r="G1062" s="102" t="str">
        <f t="shared" si="7"/>
        <v>Copper scrap - 0.04, </v>
      </c>
      <c r="H1062" s="1"/>
    </row>
    <row r="1063" spans="1:8" ht="15" customHeight="1">
      <c r="A1063" s="50"/>
      <c r="B1063" s="59"/>
      <c r="C1063" s="216"/>
      <c r="D1063" s="39"/>
      <c r="E1063" s="69"/>
      <c r="H1063" s="1"/>
    </row>
    <row r="1064" spans="1:15" ht="15" customHeight="1">
      <c r="A1064" s="50"/>
      <c r="B1064" s="59"/>
      <c r="C1064" s="216"/>
      <c r="D1064" s="45"/>
      <c r="E1064" s="67">
        <f>SUM(E1066:E1067)</f>
        <v>0.648</v>
      </c>
      <c r="F1064" s="98"/>
      <c r="G1064" s="98"/>
      <c r="H1064" s="426"/>
      <c r="I1064" s="98"/>
      <c r="J1064" s="98"/>
      <c r="K1064" s="98"/>
      <c r="L1064" s="98"/>
      <c r="M1064" s="98"/>
      <c r="N1064" s="98"/>
      <c r="O1064" s="98"/>
    </row>
    <row r="1065" spans="1:18" ht="15" customHeight="1">
      <c r="A1065" s="329" t="s">
        <v>5</v>
      </c>
      <c r="B1065" s="329"/>
      <c r="C1065" s="64" t="s">
        <v>17</v>
      </c>
      <c r="D1065" s="65" t="s">
        <v>18</v>
      </c>
      <c r="E1065" s="64" t="s">
        <v>7</v>
      </c>
      <c r="F1065" s="98"/>
      <c r="G1065" s="170" t="str">
        <f>CONCATENATE("Misc. Healthy parts/ Non Ferrous  Scrap, Lying at ",C1066,". Quantity in MT - ")</f>
        <v>Misc. Healthy parts/ Non Ferrous  Scrap, Lying at OL store Malerkotla. Quantity in MT - </v>
      </c>
      <c r="H1065" s="427" t="str">
        <f ca="1">CONCATENATE(G1065,G1066,(INDIRECT(I1066)),(INDIRECT(J1066)),(INDIRECT(K1066)),(INDIRECT(L1066)),(INDIRECT(M1066)),(INDIRECT(N1066)),(INDIRECT(O1066)),(INDIRECT(P1066)),(INDIRECT(Q1066)),(INDIRECT(R1066)),".")</f>
        <v>Misc. Healthy parts/ Non Ferrous  Scrap, Lying at OL store Malerkotla. Quantity in MT - Misc. Alumn. Scrap - 0.028, Misc. copper scrap - 0.62, .</v>
      </c>
      <c r="I1065" s="98" t="str">
        <f aca="true" ca="1" t="array" ref="I1065">CELL("address",INDEX(G1065:G1087,MATCH(TRUE,ISBLANK(G1065:G1087),0)))</f>
        <v>$G$1068</v>
      </c>
      <c r="J1065" s="98">
        <f aca="true" t="array" ref="J1065">MATCH(TRUE,ISBLANK(G1065:G1087),0)</f>
        <v>4</v>
      </c>
      <c r="K1065" s="98">
        <f>J1065-3</f>
        <v>1</v>
      </c>
      <c r="L1065" s="98"/>
      <c r="M1065" s="98"/>
      <c r="N1065" s="98"/>
      <c r="O1065" s="98"/>
      <c r="P1065" s="98"/>
      <c r="Q1065" s="98"/>
      <c r="R1065" s="98"/>
    </row>
    <row r="1066" spans="1:18" ht="15" customHeight="1">
      <c r="A1066" s="347" t="s">
        <v>44</v>
      </c>
      <c r="B1066" s="348"/>
      <c r="C1066" s="337" t="s">
        <v>116</v>
      </c>
      <c r="D1066" s="60" t="s">
        <v>31</v>
      </c>
      <c r="E1066" s="47">
        <v>0.028</v>
      </c>
      <c r="G1066" s="102" t="str">
        <f>CONCATENATE(D1066," - ",E1066,", ")</f>
        <v>Misc. Alumn. Scrap - 0.028, </v>
      </c>
      <c r="H1066" s="427"/>
      <c r="I1066" s="98" t="str">
        <f ca="1">IF(J1065&gt;=3,(MID(I1065,2,1)&amp;MID(I1065,4,4)-K1065),CELL("address",Z1066))</f>
        <v>G1067</v>
      </c>
      <c r="J1066" s="98" t="str">
        <f ca="1">IF(J1065&gt;=4,(MID(I1066,1,1)&amp;MID(I1066,2,4)+1),CELL("address",AA1066))</f>
        <v>G1068</v>
      </c>
      <c r="K1066" s="98" t="str">
        <f ca="1">IF(J1065&gt;=5,(MID(J1066,1,1)&amp;MID(J1066,2,4)+1),CELL("address",AB1066))</f>
        <v>$AB$1066</v>
      </c>
      <c r="L1066" s="98" t="str">
        <f ca="1">IF(J1065&gt;=6,(MID(K1066,1,1)&amp;MID(K1066,2,4)+1),CELL("address",AC1066))</f>
        <v>$AC$1066</v>
      </c>
      <c r="M1066" s="98" t="str">
        <f ca="1">IF(J1065&gt;=7,(MID(L1066,1,1)&amp;MID(L1066,2,4)+1),CELL("address",AD1066))</f>
        <v>$AD$1066</v>
      </c>
      <c r="N1066" s="98" t="str">
        <f ca="1">IF(J1065&gt;=8,(MID(M1066,1,1)&amp;MID(M1066,2,4)+1),CELL("address",AE1066))</f>
        <v>$AE$1066</v>
      </c>
      <c r="O1066" s="98" t="str">
        <f ca="1">IF(J1065&gt;=9,(MID(N1066,1,1)&amp;MID(N1066,2,4)+1),CELL("address",AF1066))</f>
        <v>$AF$1066</v>
      </c>
      <c r="P1066" s="98" t="str">
        <f ca="1">IF(J1065&gt;=10,(MID(O1066,1,1)&amp;MID(O1066,2,4)+1),CELL("address",AG1066))</f>
        <v>$AG$1066</v>
      </c>
      <c r="Q1066" s="98" t="str">
        <f ca="1">IF(J1065&gt;=11,(MID(P1066,1,1)&amp;MID(P1066,2,4)+1),CELL("address",AH1066))</f>
        <v>$AH$1066</v>
      </c>
      <c r="R1066" s="98" t="str">
        <f ca="1">IF(J1065&gt;=12,(MID(Q1066,1,1)&amp;MID(Q1066,2,4)+1),CELL("address",AI1066))</f>
        <v>$AI$1066</v>
      </c>
    </row>
    <row r="1067" spans="1:8" ht="15" customHeight="1">
      <c r="A1067" s="354"/>
      <c r="B1067" s="355"/>
      <c r="C1067" s="339"/>
      <c r="D1067" s="253" t="s">
        <v>111</v>
      </c>
      <c r="E1067" s="296">
        <v>0.62</v>
      </c>
      <c r="F1067" s="1">
        <v>0.6</v>
      </c>
      <c r="G1067" s="102" t="str">
        <f>CONCATENATE(D1067," - ",E1067,", ")</f>
        <v>Misc. copper scrap - 0.62, </v>
      </c>
      <c r="H1067" s="1"/>
    </row>
    <row r="1068" spans="1:8" ht="15" customHeight="1">
      <c r="A1068" s="325"/>
      <c r="B1068" s="326"/>
      <c r="C1068" s="212"/>
      <c r="D1068" s="60"/>
      <c r="E1068" s="64"/>
      <c r="H1068" s="1"/>
    </row>
    <row r="1069" spans="1:15" ht="15" customHeight="1">
      <c r="A1069" s="335"/>
      <c r="B1069" s="336"/>
      <c r="C1069" s="66"/>
      <c r="D1069" s="66"/>
      <c r="E1069" s="67">
        <f>SUM(E1071:E1072)</f>
        <v>0.10800000000000001</v>
      </c>
      <c r="F1069" s="98"/>
      <c r="G1069" s="98"/>
      <c r="H1069" s="426"/>
      <c r="I1069" s="98"/>
      <c r="J1069" s="98"/>
      <c r="K1069" s="98"/>
      <c r="L1069" s="98"/>
      <c r="M1069" s="98"/>
      <c r="N1069" s="98"/>
      <c r="O1069" s="98"/>
    </row>
    <row r="1070" spans="1:18" ht="15" customHeight="1">
      <c r="A1070" s="329" t="s">
        <v>5</v>
      </c>
      <c r="B1070" s="329"/>
      <c r="C1070" s="64" t="s">
        <v>17</v>
      </c>
      <c r="D1070" s="65" t="s">
        <v>18</v>
      </c>
      <c r="E1070" s="64" t="s">
        <v>7</v>
      </c>
      <c r="F1070" s="98"/>
      <c r="G1070" s="170" t="str">
        <f>CONCATENATE("Misc. Healthy parts/ Non Ferrous  Scrap, Lying at ",C1071,". Quantity in MT - ")</f>
        <v>Misc. Healthy parts/ Non Ferrous  Scrap, Lying at TRY Malerkotla. Quantity in MT - </v>
      </c>
      <c r="H1070" s="427" t="str">
        <f ca="1">CONCATENATE(G1070,G1071,(INDIRECT(I1071)),(INDIRECT(J1071)),(INDIRECT(K1071)),(INDIRECT(L1071)),(INDIRECT(M1071)),(INDIRECT(N1071)),(INDIRECT(O1071)),(INDIRECT(P1071)),(INDIRECT(Q1071)),(INDIRECT(R1071)),".")</f>
        <v>Misc. Healthy parts/ Non Ferrous  Scrap, Lying at TRY Malerkotla. Quantity in MT - Brass scrap - 0.101, Misc. Alumn. Scrap - 0.007, .</v>
      </c>
      <c r="I1070" s="98" t="str">
        <f aca="true" ca="1" t="array" ref="I1070">CELL("address",INDEX(G1070:G1092,MATCH(TRUE,ISBLANK(G1070:G1092),0)))</f>
        <v>$G$1073</v>
      </c>
      <c r="J1070" s="98">
        <f aca="true" t="array" ref="J1070">MATCH(TRUE,ISBLANK(G1070:G1092),0)</f>
        <v>4</v>
      </c>
      <c r="K1070" s="98">
        <f>J1070-3</f>
        <v>1</v>
      </c>
      <c r="L1070" s="98"/>
      <c r="M1070" s="98"/>
      <c r="N1070" s="98"/>
      <c r="O1070" s="98"/>
      <c r="P1070" s="98"/>
      <c r="Q1070" s="98"/>
      <c r="R1070" s="98"/>
    </row>
    <row r="1071" spans="1:18" ht="15" customHeight="1">
      <c r="A1071" s="328" t="s">
        <v>53</v>
      </c>
      <c r="B1071" s="328"/>
      <c r="C1071" s="327" t="s">
        <v>28</v>
      </c>
      <c r="D1071" s="34" t="s">
        <v>23</v>
      </c>
      <c r="E1071" s="34">
        <v>0.101</v>
      </c>
      <c r="F1071" s="1">
        <v>0.062</v>
      </c>
      <c r="G1071" s="102" t="str">
        <f>CONCATENATE(D1071," - ",E1071,", ")</f>
        <v>Brass scrap - 0.101, </v>
      </c>
      <c r="H1071" s="427"/>
      <c r="I1071" s="98" t="str">
        <f ca="1">IF(J1070&gt;=3,(MID(I1070,2,1)&amp;MID(I1070,4,4)-K1070),CELL("address",Z1071))</f>
        <v>G1072</v>
      </c>
      <c r="J1071" s="98" t="str">
        <f ca="1">IF(J1070&gt;=4,(MID(I1071,1,1)&amp;MID(I1071,2,4)+1),CELL("address",AA1071))</f>
        <v>G1073</v>
      </c>
      <c r="K1071" s="98" t="str">
        <f ca="1">IF(J1070&gt;=5,(MID(J1071,1,1)&amp;MID(J1071,2,4)+1),CELL("address",AB1071))</f>
        <v>$AB$1071</v>
      </c>
      <c r="L1071" s="98" t="str">
        <f ca="1">IF(J1070&gt;=6,(MID(K1071,1,1)&amp;MID(K1071,2,4)+1),CELL("address",AC1071))</f>
        <v>$AC$1071</v>
      </c>
      <c r="M1071" s="98" t="str">
        <f ca="1">IF(J1070&gt;=7,(MID(L1071,1,1)&amp;MID(L1071,2,4)+1),CELL("address",AD1071))</f>
        <v>$AD$1071</v>
      </c>
      <c r="N1071" s="98" t="str">
        <f ca="1">IF(J1070&gt;=8,(MID(M1071,1,1)&amp;MID(M1071,2,4)+1),CELL("address",AE1071))</f>
        <v>$AE$1071</v>
      </c>
      <c r="O1071" s="98" t="str">
        <f ca="1">IF(J1070&gt;=9,(MID(N1071,1,1)&amp;MID(N1071,2,4)+1),CELL("address",AF1071))</f>
        <v>$AF$1071</v>
      </c>
      <c r="P1071" s="98" t="str">
        <f ca="1">IF(J1070&gt;=10,(MID(O1071,1,1)&amp;MID(O1071,2,4)+1),CELL("address",AG1071))</f>
        <v>$AG$1071</v>
      </c>
      <c r="Q1071" s="98" t="str">
        <f ca="1">IF(J1070&gt;=11,(MID(P1071,1,1)&amp;MID(P1071,2,4)+1),CELL("address",AH1071))</f>
        <v>$AH$1071</v>
      </c>
      <c r="R1071" s="98" t="str">
        <f ca="1">IF(J1070&gt;=12,(MID(Q1071,1,1)&amp;MID(Q1071,2,4)+1),CELL("address",AI1071))</f>
        <v>$AI$1071</v>
      </c>
    </row>
    <row r="1072" spans="1:8" ht="15" customHeight="1">
      <c r="A1072" s="328"/>
      <c r="B1072" s="328"/>
      <c r="C1072" s="327"/>
      <c r="D1072" s="34" t="s">
        <v>31</v>
      </c>
      <c r="E1072" s="296">
        <v>0.007</v>
      </c>
      <c r="F1072" s="1">
        <v>0.005</v>
      </c>
      <c r="G1072" s="102" t="str">
        <f>CONCATENATE(D1072," - ",E1072,", ")</f>
        <v>Misc. Alumn. Scrap - 0.007, </v>
      </c>
      <c r="H1072" s="1"/>
    </row>
    <row r="1073" spans="1:8" ht="15" customHeight="1">
      <c r="A1073" s="325"/>
      <c r="B1073" s="326"/>
      <c r="C1073" s="212"/>
      <c r="D1073" s="45"/>
      <c r="E1073" s="64"/>
      <c r="H1073" s="1"/>
    </row>
    <row r="1074" spans="1:8" ht="15" customHeight="1">
      <c r="A1074" s="335"/>
      <c r="B1074" s="336"/>
      <c r="C1074" s="66"/>
      <c r="D1074" s="66"/>
      <c r="E1074" s="67">
        <f>SUM(E1076:E1080)</f>
        <v>2.116</v>
      </c>
      <c r="H1074" s="1"/>
    </row>
    <row r="1075" spans="1:18" ht="15" customHeight="1">
      <c r="A1075" s="325" t="s">
        <v>5</v>
      </c>
      <c r="B1075" s="326"/>
      <c r="C1075" s="64" t="s">
        <v>17</v>
      </c>
      <c r="D1075" s="65" t="s">
        <v>18</v>
      </c>
      <c r="E1075" s="64" t="s">
        <v>7</v>
      </c>
      <c r="G1075" s="170" t="str">
        <f>CONCATENATE("Misc. Healthy parts/ Non Ferrous  Scrap, Lying at ",C1076,". Quantity in MT - ")</f>
        <v>Misc. Healthy parts/ Non Ferrous  Scrap, Lying at TRY Patran. Quantity in MT - </v>
      </c>
      <c r="H1075" s="427" t="str">
        <f ca="1">CONCATENATE(G1075,G1076,(INDIRECT(I1076)),(INDIRECT(J1076)),(INDIRECT(K1076)),(INDIRECT(L1076)),(INDIRECT(M1076)),(INDIRECT(N1076)),(INDIRECT(O1076)),(INDIRECT(P1076)),(INDIRECT(Q1076)),(INDIRECT(R1076)),".")</f>
        <v>Misc. Healthy parts/ Non Ferrous  Scrap, Lying at TRY Patran. Quantity in MT - Brass scrap - 0.921, Misc. Aluminium scrap - 0.119, Burnt Cu scrap - 0.04, Ms Nuts &amp; Bolts - 0.9, Iron scrap - 0.136, .</v>
      </c>
      <c r="I1075" s="98" t="str">
        <f aca="true" ca="1" t="array" ref="I1075">CELL("address",INDEX(G1075:G1097,MATCH(TRUE,ISBLANK(G1075:G1097),0)))</f>
        <v>$G$1081</v>
      </c>
      <c r="J1075" s="98">
        <f aca="true" t="array" ref="J1075">MATCH(TRUE,ISBLANK(G1075:G1097),0)</f>
        <v>7</v>
      </c>
      <c r="K1075" s="98">
        <f>J1075-3</f>
        <v>4</v>
      </c>
      <c r="L1075" s="98"/>
      <c r="M1075" s="98"/>
      <c r="N1075" s="98"/>
      <c r="O1075" s="98"/>
      <c r="P1075" s="98"/>
      <c r="Q1075" s="98"/>
      <c r="R1075" s="98"/>
    </row>
    <row r="1076" spans="1:18" ht="15" customHeight="1">
      <c r="A1076" s="328" t="s">
        <v>115</v>
      </c>
      <c r="B1076" s="328"/>
      <c r="C1076" s="337" t="s">
        <v>136</v>
      </c>
      <c r="D1076" s="289" t="s">
        <v>23</v>
      </c>
      <c r="E1076" s="290">
        <v>0.921</v>
      </c>
      <c r="F1076" s="1">
        <v>0.642</v>
      </c>
      <c r="G1076" s="102" t="str">
        <f>CONCATENATE(D1076," - ",E1076,", ")</f>
        <v>Brass scrap - 0.921, </v>
      </c>
      <c r="H1076" s="427"/>
      <c r="I1076" s="98" t="str">
        <f ca="1">IF(J1075&gt;=3,(MID(I1075,2,1)&amp;MID(I1075,4,4)-K1075),CELL("address",Z1076))</f>
        <v>G1077</v>
      </c>
      <c r="J1076" s="98" t="str">
        <f ca="1">IF(J1075&gt;=4,(MID(I1076,1,1)&amp;MID(I1076,2,4)+1),CELL("address",AA1076))</f>
        <v>G1078</v>
      </c>
      <c r="K1076" s="98" t="str">
        <f ca="1">IF(J1075&gt;=5,(MID(J1076,1,1)&amp;MID(J1076,2,4)+1),CELL("address",AB1076))</f>
        <v>G1079</v>
      </c>
      <c r="L1076" s="98" t="str">
        <f ca="1">IF(J1075&gt;=6,(MID(K1076,1,1)&amp;MID(K1076,2,4)+1),CELL("address",AC1076))</f>
        <v>G1080</v>
      </c>
      <c r="M1076" s="98" t="str">
        <f ca="1">IF(J1075&gt;=7,(MID(L1076,1,1)&amp;MID(L1076,2,4)+1),CELL("address",AD1076))</f>
        <v>G1081</v>
      </c>
      <c r="N1076" s="98" t="str">
        <f ca="1">IF(J1075&gt;=8,(MID(M1076,1,1)&amp;MID(M1076,2,4)+1),CELL("address",AE1076))</f>
        <v>$AE$1076</v>
      </c>
      <c r="O1076" s="98" t="str">
        <f ca="1">IF(J1075&gt;=9,(MID(N1076,1,1)&amp;MID(N1076,2,4)+1),CELL("address",AF1076))</f>
        <v>$AF$1076</v>
      </c>
      <c r="P1076" s="98" t="str">
        <f ca="1">IF(J1075&gt;=10,(MID(O1076,1,1)&amp;MID(O1076,2,4)+1),CELL("address",AG1076))</f>
        <v>$AG$1076</v>
      </c>
      <c r="Q1076" s="98" t="str">
        <f ca="1">IF(J1075&gt;=11,(MID(P1076,1,1)&amp;MID(P1076,2,4)+1),CELL("address",AH1076))</f>
        <v>$AH$1076</v>
      </c>
      <c r="R1076" s="98" t="str">
        <f ca="1">IF(J1075&gt;=12,(MID(Q1076,1,1)&amp;MID(Q1076,2,4)+1),CELL("address",AI1076))</f>
        <v>$AI$1076</v>
      </c>
    </row>
    <row r="1077" spans="1:15" ht="15" customHeight="1">
      <c r="A1077" s="328"/>
      <c r="B1077" s="328"/>
      <c r="C1077" s="338"/>
      <c r="D1077" s="289" t="s">
        <v>24</v>
      </c>
      <c r="E1077" s="290">
        <v>0.119</v>
      </c>
      <c r="F1077" s="98">
        <v>0.071</v>
      </c>
      <c r="G1077" s="102" t="str">
        <f>CONCATENATE(D1077," - ",E1077,", ")</f>
        <v>Misc. Aluminium scrap - 0.119, </v>
      </c>
      <c r="H1077" s="426"/>
      <c r="I1077" s="98"/>
      <c r="J1077" s="98"/>
      <c r="K1077" s="98"/>
      <c r="L1077" s="98"/>
      <c r="M1077" s="98"/>
      <c r="N1077" s="98"/>
      <c r="O1077" s="98"/>
    </row>
    <row r="1078" spans="1:15" ht="15" customHeight="1">
      <c r="A1078" s="328"/>
      <c r="B1078" s="328"/>
      <c r="C1078" s="338"/>
      <c r="D1078" s="289" t="s">
        <v>37</v>
      </c>
      <c r="E1078" s="290">
        <v>0.04</v>
      </c>
      <c r="F1078" s="98">
        <v>0.028</v>
      </c>
      <c r="G1078" s="102" t="str">
        <f>CONCATENATE(D1078," - ",E1078,", ")</f>
        <v>Burnt Cu scrap - 0.04, </v>
      </c>
      <c r="H1078" s="426"/>
      <c r="I1078" s="98" t="e">
        <f ca="1">IF(G1077&gt;=6,(MID(H1078,1,1)&amp;MID(H1078,2,4)+1),CELL("address",Z1078))</f>
        <v>#VALUE!</v>
      </c>
      <c r="J1078" s="98" t="e">
        <f ca="1">IF(G1077&gt;=7,(MID(I1078,1,1)&amp;MID(I1078,2,4)+1),CELL("address",AA1078))</f>
        <v>#VALUE!</v>
      </c>
      <c r="K1078" s="98" t="e">
        <f ca="1">IF(G1077&gt;=8,(MID(J1078,1,1)&amp;MID(J1078,2,4)+1),CELL("address",AB1078))</f>
        <v>#VALUE!</v>
      </c>
      <c r="L1078" s="98" t="e">
        <f ca="1">IF(G1077&gt;=9,(MID(K1078,1,1)&amp;MID(K1078,2,4)+1),CELL("address",AC1078))</f>
        <v>#VALUE!</v>
      </c>
      <c r="M1078" s="98" t="e">
        <f ca="1">IF(G1077&gt;=10,(MID(L1078,1,1)&amp;MID(L1078,2,4)+1),CELL("address",AD1078))</f>
        <v>#VALUE!</v>
      </c>
      <c r="N1078" s="98" t="e">
        <f ca="1">IF(G1077&gt;=11,(MID(M1078,1,1)&amp;MID(M1078,2,4)+1),CELL("address",AE1078))</f>
        <v>#VALUE!</v>
      </c>
      <c r="O1078" s="98" t="e">
        <f ca="1">IF(G1077&gt;=12,(MID(N1078,1,1)&amp;MID(N1078,2,4)+1),CELL("address",AF1078))</f>
        <v>#VALUE!</v>
      </c>
    </row>
    <row r="1079" spans="1:8" ht="15" customHeight="1">
      <c r="A1079" s="328"/>
      <c r="B1079" s="328"/>
      <c r="C1079" s="338"/>
      <c r="D1079" s="34" t="s">
        <v>147</v>
      </c>
      <c r="E1079" s="290">
        <v>0.9</v>
      </c>
      <c r="F1079" s="1">
        <v>0.6</v>
      </c>
      <c r="G1079" s="102" t="str">
        <f>CONCATENATE(D1079," - ",E1079,", ")</f>
        <v>Ms Nuts &amp; Bolts - 0.9, </v>
      </c>
      <c r="H1079" s="1"/>
    </row>
    <row r="1080" spans="1:8" ht="15" customHeight="1">
      <c r="A1080" s="328"/>
      <c r="B1080" s="328"/>
      <c r="C1080" s="339"/>
      <c r="D1080" s="289" t="s">
        <v>27</v>
      </c>
      <c r="E1080" s="290">
        <v>0.136</v>
      </c>
      <c r="F1080" s="1">
        <v>0.091</v>
      </c>
      <c r="G1080" s="102" t="str">
        <f>CONCATENATE(D1080," - ",E1080,", ")</f>
        <v>Iron scrap - 0.136, </v>
      </c>
      <c r="H1080" s="1"/>
    </row>
    <row r="1081" spans="1:8" ht="15" customHeight="1">
      <c r="A1081" s="50"/>
      <c r="B1081" s="59"/>
      <c r="C1081" s="216"/>
      <c r="D1081" s="45"/>
      <c r="E1081" s="46"/>
      <c r="H1081" s="1"/>
    </row>
    <row r="1082" spans="1:15" ht="15" customHeight="1">
      <c r="A1082" s="335"/>
      <c r="B1082" s="336"/>
      <c r="C1082" s="66"/>
      <c r="D1082" s="66"/>
      <c r="E1082" s="67">
        <f>SUM(E1084:E1085)</f>
        <v>1.222</v>
      </c>
      <c r="F1082" s="98"/>
      <c r="G1082" s="98"/>
      <c r="H1082" s="426"/>
      <c r="I1082" s="98"/>
      <c r="J1082" s="98"/>
      <c r="K1082" s="98"/>
      <c r="L1082" s="98"/>
      <c r="M1082" s="98"/>
      <c r="N1082" s="98"/>
      <c r="O1082" s="98"/>
    </row>
    <row r="1083" spans="1:18" ht="15" customHeight="1">
      <c r="A1083" s="329" t="s">
        <v>5</v>
      </c>
      <c r="B1083" s="329"/>
      <c r="C1083" s="64" t="s">
        <v>17</v>
      </c>
      <c r="D1083" s="65" t="s">
        <v>18</v>
      </c>
      <c r="E1083" s="64" t="s">
        <v>7</v>
      </c>
      <c r="F1083" s="98"/>
      <c r="G1083" s="170" t="str">
        <f>CONCATENATE("Misc. Healthy parts/ Non Ferrous  Scrap, Lying at ",C1084,". Quantity in MT - ")</f>
        <v>Misc. Healthy parts/ Non Ferrous  Scrap, Lying at TRY Patran. Quantity in MT - </v>
      </c>
      <c r="H1083" s="427" t="str">
        <f ca="1">CONCATENATE(G1083,G1084,(INDIRECT(I1084)),(INDIRECT(J1084)),(INDIRECT(K1084)),(INDIRECT(L1084)),(INDIRECT(M1084)),(INDIRECT(N1084)),(INDIRECT(O1084)),(INDIRECT(P1084)),(INDIRECT(Q1084)),(INDIRECT(R1084)),".")</f>
        <v>Misc. Healthy parts/ Non Ferrous  Scrap, Lying at TRY Patran. Quantity in MT - Brass scrap - 1.148, Misc. Alumn. Scrap - 0.074, .</v>
      </c>
      <c r="I1083" s="98" t="str">
        <f aca="true" ca="1" t="array" ref="I1083">CELL("address",INDEX(G1083:G1105,MATCH(TRUE,ISBLANK(G1083:G1105),0)))</f>
        <v>$G$1086</v>
      </c>
      <c r="J1083" s="98">
        <f aca="true" t="array" ref="J1083">MATCH(TRUE,ISBLANK(G1083:G1105),0)</f>
        <v>4</v>
      </c>
      <c r="K1083" s="98">
        <f>J1083-3</f>
        <v>1</v>
      </c>
      <c r="L1083" s="98"/>
      <c r="M1083" s="98"/>
      <c r="N1083" s="98"/>
      <c r="O1083" s="98"/>
      <c r="P1083" s="98"/>
      <c r="Q1083" s="98"/>
      <c r="R1083" s="98"/>
    </row>
    <row r="1084" spans="1:18" ht="15" customHeight="1">
      <c r="A1084" s="328" t="s">
        <v>117</v>
      </c>
      <c r="B1084" s="328"/>
      <c r="C1084" s="327" t="s">
        <v>136</v>
      </c>
      <c r="D1084" s="34" t="s">
        <v>23</v>
      </c>
      <c r="E1084" s="34">
        <v>1.148</v>
      </c>
      <c r="F1084" s="1">
        <v>0.783</v>
      </c>
      <c r="G1084" s="102" t="str">
        <f>CONCATENATE(D1084," - ",E1084,", ")</f>
        <v>Brass scrap - 1.148, </v>
      </c>
      <c r="H1084" s="427"/>
      <c r="I1084" s="98" t="str">
        <f ca="1">IF(J1083&gt;=3,(MID(I1083,2,1)&amp;MID(I1083,4,4)-K1083),CELL("address",Z1084))</f>
        <v>G1085</v>
      </c>
      <c r="J1084" s="98" t="str">
        <f ca="1">IF(J1083&gt;=4,(MID(I1084,1,1)&amp;MID(I1084,2,4)+1),CELL("address",AA1084))</f>
        <v>G1086</v>
      </c>
      <c r="K1084" s="98" t="str">
        <f ca="1">IF(J1083&gt;=5,(MID(J1084,1,1)&amp;MID(J1084,2,4)+1),CELL("address",AB1084))</f>
        <v>$AB$1084</v>
      </c>
      <c r="L1084" s="98" t="str">
        <f ca="1">IF(J1083&gt;=6,(MID(K1084,1,1)&amp;MID(K1084,2,4)+1),CELL("address",AC1084))</f>
        <v>$AC$1084</v>
      </c>
      <c r="M1084" s="98" t="str">
        <f ca="1">IF(J1083&gt;=7,(MID(L1084,1,1)&amp;MID(L1084,2,4)+1),CELL("address",AD1084))</f>
        <v>$AD$1084</v>
      </c>
      <c r="N1084" s="98" t="str">
        <f ca="1">IF(J1083&gt;=8,(MID(M1084,1,1)&amp;MID(M1084,2,4)+1),CELL("address",AE1084))</f>
        <v>$AE$1084</v>
      </c>
      <c r="O1084" s="98" t="str">
        <f ca="1">IF(J1083&gt;=9,(MID(N1084,1,1)&amp;MID(N1084,2,4)+1),CELL("address",AF1084))</f>
        <v>$AF$1084</v>
      </c>
      <c r="P1084" s="98" t="str">
        <f ca="1">IF(J1083&gt;=10,(MID(O1084,1,1)&amp;MID(O1084,2,4)+1),CELL("address",AG1084))</f>
        <v>$AG$1084</v>
      </c>
      <c r="Q1084" s="98" t="str">
        <f ca="1">IF(J1083&gt;=11,(MID(P1084,1,1)&amp;MID(P1084,2,4)+1),CELL("address",AH1084))</f>
        <v>$AH$1084</v>
      </c>
      <c r="R1084" s="98" t="str">
        <f ca="1">IF(J1083&gt;=12,(MID(Q1084,1,1)&amp;MID(Q1084,2,4)+1),CELL("address",AI1084))</f>
        <v>$AI$1084</v>
      </c>
    </row>
    <row r="1085" spans="1:8" ht="15" customHeight="1">
      <c r="A1085" s="328"/>
      <c r="B1085" s="328"/>
      <c r="C1085" s="327"/>
      <c r="D1085" s="34" t="s">
        <v>31</v>
      </c>
      <c r="E1085" s="296">
        <v>0.074</v>
      </c>
      <c r="F1085" s="1">
        <v>0.051</v>
      </c>
      <c r="G1085" s="102" t="str">
        <f>CONCATENATE(D1085," - ",E1085,", ")</f>
        <v>Misc. Alumn. Scrap - 0.074, </v>
      </c>
      <c r="H1085" s="1"/>
    </row>
    <row r="1086" spans="1:8" ht="15" customHeight="1">
      <c r="A1086" s="35"/>
      <c r="H1086" s="1"/>
    </row>
    <row r="1087" spans="1:15" ht="15" customHeight="1">
      <c r="A1087" s="335"/>
      <c r="B1087" s="336"/>
      <c r="C1087" s="66"/>
      <c r="D1087" s="66"/>
      <c r="E1087" s="67">
        <f>SUM(E1089:E1090)</f>
        <v>2.17</v>
      </c>
      <c r="F1087" s="98"/>
      <c r="G1087" s="98"/>
      <c r="H1087" s="426"/>
      <c r="I1087" s="98"/>
      <c r="J1087" s="98"/>
      <c r="K1087" s="98"/>
      <c r="L1087" s="98"/>
      <c r="M1087" s="98"/>
      <c r="N1087" s="98"/>
      <c r="O1087" s="98"/>
    </row>
    <row r="1088" spans="1:18" ht="15" customHeight="1">
      <c r="A1088" s="329" t="s">
        <v>5</v>
      </c>
      <c r="B1088" s="329"/>
      <c r="C1088" s="64" t="s">
        <v>17</v>
      </c>
      <c r="D1088" s="65" t="s">
        <v>18</v>
      </c>
      <c r="E1088" s="64" t="s">
        <v>7</v>
      </c>
      <c r="F1088" s="98"/>
      <c r="G1088" s="170" t="str">
        <f>CONCATENATE("Misc. Healthy parts/ Non Ferrous  Scrap, Lying at ",C1089,". Quantity in MT - ")</f>
        <v>Misc. Healthy parts/ Non Ferrous  Scrap, Lying at TRY Ropar. Quantity in MT - </v>
      </c>
      <c r="H1088" s="427" t="str">
        <f ca="1">CONCATENATE(G1088,G1089,(INDIRECT(I1089)),(INDIRECT(J1089)),(INDIRECT(K1089)),(INDIRECT(L1089)),(INDIRECT(M1089)),(INDIRECT(N1089)),(INDIRECT(O1089)),(INDIRECT(P1089)),(INDIRECT(Q1089)),(INDIRECT(R1089)),".")</f>
        <v>Misc. Healthy parts/ Non Ferrous  Scrap, Lying at TRY Ropar. Quantity in MT - Brass scrap - 2.007, Misc. Alumn. Scrap - 0.163, .</v>
      </c>
      <c r="I1088" s="98" t="str">
        <f aca="true" ca="1" t="array" ref="I1088">CELL("address",INDEX(G1088:G1110,MATCH(TRUE,ISBLANK(G1088:G1110),0)))</f>
        <v>$G$1091</v>
      </c>
      <c r="J1088" s="98">
        <f aca="true" t="array" ref="J1088">MATCH(TRUE,ISBLANK(G1088:G1110),0)</f>
        <v>4</v>
      </c>
      <c r="K1088" s="98">
        <f>J1088-3</f>
        <v>1</v>
      </c>
      <c r="L1088" s="98"/>
      <c r="M1088" s="98"/>
      <c r="N1088" s="98"/>
      <c r="O1088" s="98"/>
      <c r="P1088" s="98"/>
      <c r="Q1088" s="98"/>
      <c r="R1088" s="98"/>
    </row>
    <row r="1089" spans="1:18" ht="15" customHeight="1">
      <c r="A1089" s="329" t="s">
        <v>118</v>
      </c>
      <c r="B1089" s="329"/>
      <c r="C1089" s="327" t="s">
        <v>143</v>
      </c>
      <c r="D1089" s="45" t="s">
        <v>23</v>
      </c>
      <c r="E1089" s="45">
        <v>2.007</v>
      </c>
      <c r="G1089" s="102" t="str">
        <f>CONCATENATE(D1089," - ",E1089,", ")</f>
        <v>Brass scrap - 2.007, </v>
      </c>
      <c r="H1089" s="427"/>
      <c r="I1089" s="98" t="str">
        <f ca="1">IF(J1088&gt;=3,(MID(I1088,2,1)&amp;MID(I1088,4,4)-K1088),CELL("address",Z1089))</f>
        <v>G1090</v>
      </c>
      <c r="J1089" s="98" t="str">
        <f ca="1">IF(J1088&gt;=4,(MID(I1089,1,1)&amp;MID(I1089,2,4)+1),CELL("address",AA1089))</f>
        <v>G1091</v>
      </c>
      <c r="K1089" s="98" t="str">
        <f ca="1">IF(J1088&gt;=5,(MID(J1089,1,1)&amp;MID(J1089,2,4)+1),CELL("address",AB1089))</f>
        <v>$AB$1089</v>
      </c>
      <c r="L1089" s="98" t="str">
        <f ca="1">IF(J1088&gt;=6,(MID(K1089,1,1)&amp;MID(K1089,2,4)+1),CELL("address",AC1089))</f>
        <v>$AC$1089</v>
      </c>
      <c r="M1089" s="98" t="str">
        <f ca="1">IF(J1088&gt;=7,(MID(L1089,1,1)&amp;MID(L1089,2,4)+1),CELL("address",AD1089))</f>
        <v>$AD$1089</v>
      </c>
      <c r="N1089" s="98" t="str">
        <f ca="1">IF(J1088&gt;=8,(MID(M1089,1,1)&amp;MID(M1089,2,4)+1),CELL("address",AE1089))</f>
        <v>$AE$1089</v>
      </c>
      <c r="O1089" s="98" t="str">
        <f ca="1">IF(J1088&gt;=9,(MID(N1089,1,1)&amp;MID(N1089,2,4)+1),CELL("address",AF1089))</f>
        <v>$AF$1089</v>
      </c>
      <c r="P1089" s="98" t="str">
        <f ca="1">IF(J1088&gt;=10,(MID(O1089,1,1)&amp;MID(O1089,2,4)+1),CELL("address",AG1089))</f>
        <v>$AG$1089</v>
      </c>
      <c r="Q1089" s="98" t="str">
        <f ca="1">IF(J1088&gt;=11,(MID(P1089,1,1)&amp;MID(P1089,2,4)+1),CELL("address",AH1089))</f>
        <v>$AH$1089</v>
      </c>
      <c r="R1089" s="98" t="str">
        <f ca="1">IF(J1088&gt;=12,(MID(Q1089,1,1)&amp;MID(Q1089,2,4)+1),CELL("address",AI1089))</f>
        <v>$AI$1089</v>
      </c>
    </row>
    <row r="1090" spans="1:8" ht="15" customHeight="1">
      <c r="A1090" s="329"/>
      <c r="B1090" s="329"/>
      <c r="C1090" s="327"/>
      <c r="D1090" s="45" t="s">
        <v>31</v>
      </c>
      <c r="E1090" s="64">
        <v>0.163</v>
      </c>
      <c r="G1090" s="102" t="str">
        <f>CONCATENATE(D1090," - ",E1090,", ")</f>
        <v>Misc. Alumn. Scrap - 0.163, </v>
      </c>
      <c r="H1090" s="1"/>
    </row>
    <row r="1091" spans="1:8" ht="15" customHeight="1">
      <c r="A1091" s="51"/>
      <c r="B1091" s="54"/>
      <c r="C1091" s="19"/>
      <c r="D1091" s="83"/>
      <c r="E1091" s="82"/>
      <c r="H1091" s="1"/>
    </row>
    <row r="1092" spans="1:8" ht="15" customHeight="1">
      <c r="A1092" s="335"/>
      <c r="B1092" s="336"/>
      <c r="C1092" s="66"/>
      <c r="D1092" s="66"/>
      <c r="E1092" s="67">
        <f>SUM(E1094:E1099)</f>
        <v>1.9560000000000002</v>
      </c>
      <c r="H1092" s="1"/>
    </row>
    <row r="1093" spans="1:18" ht="15" customHeight="1">
      <c r="A1093" s="329" t="s">
        <v>5</v>
      </c>
      <c r="B1093" s="329"/>
      <c r="C1093" s="64" t="s">
        <v>17</v>
      </c>
      <c r="D1093" s="65" t="s">
        <v>18</v>
      </c>
      <c r="E1093" s="64" t="s">
        <v>7</v>
      </c>
      <c r="G1093" s="170" t="str">
        <f>CONCATENATE("Misc. Healthy parts/ Non Ferrous  Scrap, Lying at ",C1094,". Quantity in MT - ")</f>
        <v>Misc. Healthy parts/ Non Ferrous  Scrap, Lying at TRY Patiala. Quantity in MT - </v>
      </c>
      <c r="H1093" s="427" t="str">
        <f ca="1">CONCATENATE(G1093,G1094,(INDIRECT(I1094)),(INDIRECT(J1094)),(INDIRECT(K1094)),(INDIRECT(L1094)),(INDIRECT(M1094)),(INDIRECT(N1094)),(INDIRECT(O1094)),(INDIRECT(P1094)),(INDIRECT(Q1094)),(INDIRECT(R1094)),".")</f>
        <v>Misc. Healthy parts/ Non Ferrous  Scrap, Lying at TRY Patiala. Quantity in MT - Brass scrap - 0.768, Misc. Alumn. Scrap - 0.069, Burnt Cu scrap - 0.055, Nuts &amp; Bolts scrap - 0.87, Teen Patra scrap - 0.136, M.S Iron scrap - 0.058, .</v>
      </c>
      <c r="I1093" s="98" t="str">
        <f aca="true" ca="1" t="array" ref="I1093">CELL("address",INDEX(G1093:G1115,MATCH(TRUE,ISBLANK(G1093:G1115),0)))</f>
        <v>$G$1100</v>
      </c>
      <c r="J1093" s="98">
        <f aca="true" t="array" ref="J1093">MATCH(TRUE,ISBLANK(G1093:G1115),0)</f>
        <v>8</v>
      </c>
      <c r="K1093" s="98">
        <f>J1093-3</f>
        <v>5</v>
      </c>
      <c r="L1093" s="98"/>
      <c r="M1093" s="98"/>
      <c r="N1093" s="98"/>
      <c r="O1093" s="98"/>
      <c r="P1093" s="98"/>
      <c r="Q1093" s="98"/>
      <c r="R1093" s="98"/>
    </row>
    <row r="1094" spans="1:18" ht="15" customHeight="1">
      <c r="A1094" s="329" t="s">
        <v>125</v>
      </c>
      <c r="B1094" s="329"/>
      <c r="C1094" s="327" t="s">
        <v>120</v>
      </c>
      <c r="D1094" s="34" t="s">
        <v>23</v>
      </c>
      <c r="E1094" s="49">
        <v>0.768</v>
      </c>
      <c r="F1094" s="1">
        <v>0.767</v>
      </c>
      <c r="G1094" s="102" t="str">
        <f aca="true" t="shared" si="8" ref="G1094:G1099">CONCATENATE(D1094," - ",E1094,", ")</f>
        <v>Brass scrap - 0.768, </v>
      </c>
      <c r="H1094" s="427"/>
      <c r="I1094" s="98" t="str">
        <f ca="1">IF(J1093&gt;=3,(MID(I1093,2,1)&amp;MID(I1093,4,4)-K1093),CELL("address",Z1094))</f>
        <v>G1095</v>
      </c>
      <c r="J1094" s="98" t="str">
        <f ca="1">IF(J1093&gt;=4,(MID(I1094,1,1)&amp;MID(I1094,2,4)+1),CELL("address",AA1094))</f>
        <v>G1096</v>
      </c>
      <c r="K1094" s="98" t="str">
        <f ca="1">IF(J1093&gt;=5,(MID(J1094,1,1)&amp;MID(J1094,2,4)+1),CELL("address",AB1094))</f>
        <v>G1097</v>
      </c>
      <c r="L1094" s="98" t="str">
        <f ca="1">IF(J1093&gt;=6,(MID(K1094,1,1)&amp;MID(K1094,2,4)+1),CELL("address",AC1094))</f>
        <v>G1098</v>
      </c>
      <c r="M1094" s="98" t="str">
        <f ca="1">IF(J1093&gt;=7,(MID(L1094,1,1)&amp;MID(L1094,2,4)+1),CELL("address",AD1094))</f>
        <v>G1099</v>
      </c>
      <c r="N1094" s="98" t="str">
        <f ca="1">IF(J1093&gt;=8,(MID(M1094,1,1)&amp;MID(M1094,2,4)+1),CELL("address",AE1094))</f>
        <v>G1100</v>
      </c>
      <c r="O1094" s="98" t="str">
        <f ca="1">IF(J1093&gt;=9,(MID(N1094,1,1)&amp;MID(N1094,2,4)+1),CELL("address",AF1094))</f>
        <v>$AF$1094</v>
      </c>
      <c r="P1094" s="98" t="str">
        <f ca="1">IF(J1093&gt;=10,(MID(O1094,1,1)&amp;MID(O1094,2,4)+1),CELL("address",AG1094))</f>
        <v>$AG$1094</v>
      </c>
      <c r="Q1094" s="98" t="str">
        <f ca="1">IF(J1093&gt;=11,(MID(P1094,1,1)&amp;MID(P1094,2,4)+1),CELL("address",AH1094))</f>
        <v>$AH$1094</v>
      </c>
      <c r="R1094" s="98" t="str">
        <f ca="1">IF(J1093&gt;=12,(MID(Q1094,1,1)&amp;MID(Q1094,2,4)+1),CELL("address",AI1094))</f>
        <v>$AI$1094</v>
      </c>
    </row>
    <row r="1095" spans="1:8" ht="15" customHeight="1">
      <c r="A1095" s="329"/>
      <c r="B1095" s="329"/>
      <c r="C1095" s="327"/>
      <c r="D1095" s="45" t="s">
        <v>31</v>
      </c>
      <c r="E1095" s="73">
        <v>0.069</v>
      </c>
      <c r="G1095" s="102" t="str">
        <f t="shared" si="8"/>
        <v>Misc. Alumn. Scrap - 0.069, </v>
      </c>
      <c r="H1095" s="1"/>
    </row>
    <row r="1096" spans="1:15" ht="15" customHeight="1">
      <c r="A1096" s="329"/>
      <c r="B1096" s="329"/>
      <c r="C1096" s="327"/>
      <c r="D1096" s="40" t="s">
        <v>37</v>
      </c>
      <c r="E1096" s="190">
        <v>0.055</v>
      </c>
      <c r="F1096" s="98"/>
      <c r="G1096" s="102" t="str">
        <f t="shared" si="8"/>
        <v>Burnt Cu scrap - 0.055, </v>
      </c>
      <c r="H1096" s="426"/>
      <c r="I1096" s="98"/>
      <c r="J1096" s="98"/>
      <c r="K1096" s="98"/>
      <c r="L1096" s="98"/>
      <c r="M1096" s="98"/>
      <c r="N1096" s="98"/>
      <c r="O1096" s="98"/>
    </row>
    <row r="1097" spans="1:15" ht="15" customHeight="1">
      <c r="A1097" s="329"/>
      <c r="B1097" s="329"/>
      <c r="C1097" s="327"/>
      <c r="D1097" s="40" t="s">
        <v>58</v>
      </c>
      <c r="E1097" s="190">
        <v>0.87</v>
      </c>
      <c r="F1097" s="98"/>
      <c r="G1097" s="102" t="str">
        <f t="shared" si="8"/>
        <v>Nuts &amp; Bolts scrap - 0.87, </v>
      </c>
      <c r="H1097" s="426"/>
      <c r="I1097" s="98" t="e">
        <f ca="1">IF(G1096&gt;=6,(MID(H1097,1,1)&amp;MID(H1097,2,4)+1),CELL("address",Z1097))</f>
        <v>#VALUE!</v>
      </c>
      <c r="J1097" s="98" t="e">
        <f ca="1">IF(G1096&gt;=7,(MID(I1097,1,1)&amp;MID(I1097,2,4)+1),CELL("address",AA1097))</f>
        <v>#VALUE!</v>
      </c>
      <c r="K1097" s="98" t="e">
        <f ca="1">IF(G1096&gt;=8,(MID(J1097,1,1)&amp;MID(J1097,2,4)+1),CELL("address",AB1097))</f>
        <v>#VALUE!</v>
      </c>
      <c r="L1097" s="98" t="e">
        <f ca="1">IF(G1096&gt;=9,(MID(K1097,1,1)&amp;MID(K1097,2,4)+1),CELL("address",AC1097))</f>
        <v>#VALUE!</v>
      </c>
      <c r="M1097" s="98" t="e">
        <f ca="1">IF(G1096&gt;=10,(MID(L1097,1,1)&amp;MID(L1097,2,4)+1),CELL("address",AD1097))</f>
        <v>#VALUE!</v>
      </c>
      <c r="N1097" s="98" t="e">
        <f ca="1">IF(G1096&gt;=11,(MID(M1097,1,1)&amp;MID(M1097,2,4)+1),CELL("address",AE1097))</f>
        <v>#VALUE!</v>
      </c>
      <c r="O1097" s="98" t="e">
        <f ca="1">IF(G1096&gt;=12,(MID(N1097,1,1)&amp;MID(N1097,2,4)+1),CELL("address",AF1097))</f>
        <v>#VALUE!</v>
      </c>
    </row>
    <row r="1098" spans="1:8" ht="15" customHeight="1">
      <c r="A1098" s="329"/>
      <c r="B1098" s="329"/>
      <c r="C1098" s="327"/>
      <c r="D1098" s="40" t="s">
        <v>64</v>
      </c>
      <c r="E1098" s="190">
        <v>0.136</v>
      </c>
      <c r="G1098" s="102" t="str">
        <f t="shared" si="8"/>
        <v>Teen Patra scrap - 0.136, </v>
      </c>
      <c r="H1098" s="1"/>
    </row>
    <row r="1099" spans="1:8" ht="15" customHeight="1">
      <c r="A1099" s="329"/>
      <c r="B1099" s="329"/>
      <c r="C1099" s="327"/>
      <c r="D1099" s="40" t="s">
        <v>495</v>
      </c>
      <c r="E1099" s="190">
        <v>0.058</v>
      </c>
      <c r="G1099" s="102" t="str">
        <f t="shared" si="8"/>
        <v>M.S Iron scrap - 0.058, </v>
      </c>
      <c r="H1099" s="1"/>
    </row>
    <row r="1100" spans="1:15" ht="15" customHeight="1">
      <c r="A1100" s="35"/>
      <c r="B1100" s="1"/>
      <c r="C1100" s="1"/>
      <c r="D1100" s="1"/>
      <c r="E1100" s="1"/>
      <c r="F1100" s="98"/>
      <c r="G1100" s="98"/>
      <c r="H1100" s="426"/>
      <c r="I1100" s="98"/>
      <c r="J1100" s="98"/>
      <c r="K1100" s="98"/>
      <c r="L1100" s="98"/>
      <c r="M1100" s="98"/>
      <c r="N1100" s="98"/>
      <c r="O1100" s="98"/>
    </row>
    <row r="1101" spans="1:15" ht="15" customHeight="1">
      <c r="A1101" s="335"/>
      <c r="B1101" s="336"/>
      <c r="C1101" s="66"/>
      <c r="D1101" s="66"/>
      <c r="E1101" s="67">
        <f>SUM(E1103:E1103)</f>
        <v>0.011</v>
      </c>
      <c r="F1101" s="98"/>
      <c r="G1101" s="98"/>
      <c r="H1101" s="426"/>
      <c r="I1101" s="98" t="str">
        <f ca="1">IF(G1100&gt;=6,(MID(H1101,1,1)&amp;MID(H1101,2,4)+1),CELL("address",Z1101))</f>
        <v>$Z$1101</v>
      </c>
      <c r="J1101" s="98" t="str">
        <f ca="1">IF(G1100&gt;=7,(MID(I1101,1,1)&amp;MID(I1101,2,4)+1),CELL("address",AA1101))</f>
        <v>$AA$1101</v>
      </c>
      <c r="K1101" s="98" t="str">
        <f ca="1">IF(G1100&gt;=8,(MID(J1101,1,1)&amp;MID(J1101,2,4)+1),CELL("address",AB1101))</f>
        <v>$AB$1101</v>
      </c>
      <c r="L1101" s="98" t="str">
        <f ca="1">IF(G1100&gt;=9,(MID(K1101,1,1)&amp;MID(K1101,2,4)+1),CELL("address",AC1101))</f>
        <v>$AC$1101</v>
      </c>
      <c r="M1101" s="98" t="str">
        <f ca="1">IF(G1100&gt;=10,(MID(L1101,1,1)&amp;MID(L1101,2,4)+1),CELL("address",AD1101))</f>
        <v>$AD$1101</v>
      </c>
      <c r="N1101" s="98" t="str">
        <f ca="1">IF(G1100&gt;=11,(MID(M1101,1,1)&amp;MID(M1101,2,4)+1),CELL("address",AE1101))</f>
        <v>$AE$1101</v>
      </c>
      <c r="O1101" s="98" t="str">
        <f ca="1">IF(G1100&gt;=12,(MID(N1101,1,1)&amp;MID(N1101,2,4)+1),CELL("address",AF1101))</f>
        <v>$AF$1101</v>
      </c>
    </row>
    <row r="1102" spans="1:18" ht="15" customHeight="1">
      <c r="A1102" s="329" t="s">
        <v>5</v>
      </c>
      <c r="B1102" s="329"/>
      <c r="C1102" s="64" t="s">
        <v>17</v>
      </c>
      <c r="D1102" s="65" t="s">
        <v>18</v>
      </c>
      <c r="E1102" s="64" t="s">
        <v>7</v>
      </c>
      <c r="G1102" s="170" t="str">
        <f>CONCATENATE("Misc. Healthy parts/ Non Ferrous  Scrap, Lying at ",C1103,". Quantity in MT - ")</f>
        <v>Misc. Healthy parts/ Non Ferrous  Scrap, Lying at CS Malout. Quantity in MT - </v>
      </c>
      <c r="H1102" s="427" t="str">
        <f ca="1">CONCATENATE(G1102,G1103,(INDIRECT(I1103)),(INDIRECT(J1103)),(INDIRECT(K1103)),(INDIRECT(L1103)),(INDIRECT(M1103)),(INDIRECT(N1103)),(INDIRECT(O1103)),(INDIRECT(P1103)),(INDIRECT(Q1103)),(INDIRECT(R1103)),".")</f>
        <v>Misc. Healthy parts/ Non Ferrous  Scrap, Lying at CS Malout. Quantity in MT - Brass scrap - 0.011, .</v>
      </c>
      <c r="I1102" s="98" t="str">
        <f aca="true" ca="1" t="array" ref="I1102">CELL("address",INDEX(G1102:G1124,MATCH(TRUE,ISBLANK(G1102:G1124),0)))</f>
        <v>$G$1104</v>
      </c>
      <c r="J1102" s="98">
        <f aca="true" t="array" ref="J1102">MATCH(TRUE,ISBLANK(G1102:G1124),0)</f>
        <v>3</v>
      </c>
      <c r="K1102" s="98">
        <f>J1102-3</f>
        <v>0</v>
      </c>
      <c r="L1102" s="98"/>
      <c r="M1102" s="98"/>
      <c r="N1102" s="98"/>
      <c r="O1102" s="98"/>
      <c r="P1102" s="98"/>
      <c r="Q1102" s="98"/>
      <c r="R1102" s="98"/>
    </row>
    <row r="1103" spans="1:18" ht="15" customHeight="1">
      <c r="A1103" s="328" t="s">
        <v>133</v>
      </c>
      <c r="B1103" s="328"/>
      <c r="C1103" s="212" t="s">
        <v>95</v>
      </c>
      <c r="D1103" s="45" t="s">
        <v>23</v>
      </c>
      <c r="E1103" s="47">
        <v>0.011</v>
      </c>
      <c r="G1103" s="102" t="str">
        <f>CONCATENATE(D1103," - ",E1103,", ")</f>
        <v>Brass scrap - 0.011, </v>
      </c>
      <c r="H1103" s="427"/>
      <c r="I1103" s="98" t="str">
        <f ca="1">IF(J1102&gt;=3,(MID(I1102,2,1)&amp;MID(I1102,4,4)-K1102),CELL("address",Z1103))</f>
        <v>G1104</v>
      </c>
      <c r="J1103" s="98" t="str">
        <f ca="1">IF(J1102&gt;=4,(MID(I1103,1,1)&amp;MID(I1103,2,4)+1),CELL("address",AA1103))</f>
        <v>$AA$1103</v>
      </c>
      <c r="K1103" s="98" t="str">
        <f ca="1">IF(J1102&gt;=5,(MID(J1103,1,1)&amp;MID(J1103,2,4)+1),CELL("address",AB1103))</f>
        <v>$AB$1103</v>
      </c>
      <c r="L1103" s="98" t="str">
        <f ca="1">IF(J1102&gt;=6,(MID(K1103,1,1)&amp;MID(K1103,2,4)+1),CELL("address",AC1103))</f>
        <v>$AC$1103</v>
      </c>
      <c r="M1103" s="98" t="str">
        <f ca="1">IF(J1102&gt;=7,(MID(L1103,1,1)&amp;MID(L1103,2,4)+1),CELL("address",AD1103))</f>
        <v>$AD$1103</v>
      </c>
      <c r="N1103" s="98" t="str">
        <f ca="1">IF(J1102&gt;=8,(MID(M1103,1,1)&amp;MID(M1103,2,4)+1),CELL("address",AE1103))</f>
        <v>$AE$1103</v>
      </c>
      <c r="O1103" s="98" t="str">
        <f ca="1">IF(J1102&gt;=9,(MID(N1103,1,1)&amp;MID(N1103,2,4)+1),CELL("address",AF1103))</f>
        <v>$AF$1103</v>
      </c>
      <c r="P1103" s="98" t="str">
        <f ca="1">IF(J1102&gt;=10,(MID(O1103,1,1)&amp;MID(O1103,2,4)+1),CELL("address",AG1103))</f>
        <v>$AG$1103</v>
      </c>
      <c r="Q1103" s="98" t="str">
        <f ca="1">IF(J1102&gt;=11,(MID(P1103,1,1)&amp;MID(P1103,2,4)+1),CELL("address",AH1103))</f>
        <v>$AH$1103</v>
      </c>
      <c r="R1103" s="98" t="str">
        <f ca="1">IF(J1102&gt;=12,(MID(Q1103,1,1)&amp;MID(Q1103,2,4)+1),CELL("address",AI1103))</f>
        <v>$AI$1103</v>
      </c>
    </row>
    <row r="1104" spans="1:15" ht="15" customHeight="1">
      <c r="A1104" s="411"/>
      <c r="B1104" s="412"/>
      <c r="C1104" s="92"/>
      <c r="D1104" s="92"/>
      <c r="E1104" s="92"/>
      <c r="F1104" s="98"/>
      <c r="G1104" s="98"/>
      <c r="H1104" s="426"/>
      <c r="I1104" s="98"/>
      <c r="J1104" s="98"/>
      <c r="K1104" s="98"/>
      <c r="L1104" s="98"/>
      <c r="M1104" s="98"/>
      <c r="N1104" s="98"/>
      <c r="O1104" s="98"/>
    </row>
    <row r="1105" spans="1:15" ht="15" customHeight="1">
      <c r="A1105" s="335"/>
      <c r="B1105" s="336"/>
      <c r="C1105" s="66"/>
      <c r="D1105" s="66"/>
      <c r="E1105" s="67">
        <f>SUM(E1107:E1107)</f>
        <v>1</v>
      </c>
      <c r="F1105" s="98"/>
      <c r="G1105" s="98"/>
      <c r="H1105" s="426"/>
      <c r="I1105" s="98" t="str">
        <f ca="1">IF(G1104&gt;=6,(MID(H1105,1,1)&amp;MID(H1105,2,4)+1),CELL("address",Z1105))</f>
        <v>$Z$1105</v>
      </c>
      <c r="J1105" s="98" t="str">
        <f ca="1">IF(G1104&gt;=7,(MID(I1105,1,1)&amp;MID(I1105,2,4)+1),CELL("address",AA1105))</f>
        <v>$AA$1105</v>
      </c>
      <c r="K1105" s="98" t="str">
        <f ca="1">IF(G1104&gt;=8,(MID(J1105,1,1)&amp;MID(J1105,2,4)+1),CELL("address",AB1105))</f>
        <v>$AB$1105</v>
      </c>
      <c r="L1105" s="98" t="str">
        <f ca="1">IF(G1104&gt;=9,(MID(K1105,1,1)&amp;MID(K1105,2,4)+1),CELL("address",AC1105))</f>
        <v>$AC$1105</v>
      </c>
      <c r="M1105" s="98" t="str">
        <f ca="1">IF(G1104&gt;=10,(MID(L1105,1,1)&amp;MID(L1105,2,4)+1),CELL("address",AD1105))</f>
        <v>$AD$1105</v>
      </c>
      <c r="N1105" s="98" t="str">
        <f ca="1">IF(G1104&gt;=11,(MID(M1105,1,1)&amp;MID(M1105,2,4)+1),CELL("address",AE1105))</f>
        <v>$AE$1105</v>
      </c>
      <c r="O1105" s="98" t="str">
        <f ca="1">IF(G1104&gt;=12,(MID(N1105,1,1)&amp;MID(N1105,2,4)+1),CELL("address",AF1105))</f>
        <v>$AF$1105</v>
      </c>
    </row>
    <row r="1106" spans="1:18" ht="15" customHeight="1">
      <c r="A1106" s="329" t="s">
        <v>5</v>
      </c>
      <c r="B1106" s="329"/>
      <c r="C1106" s="64" t="s">
        <v>17</v>
      </c>
      <c r="D1106" s="65" t="s">
        <v>18</v>
      </c>
      <c r="E1106" s="64" t="s">
        <v>7</v>
      </c>
      <c r="G1106" s="170" t="str">
        <f>CONCATENATE("Misc. Healthy parts/ Non Ferrous  Scrap, Lying at ",C1107,". Quantity in MT - ")</f>
        <v>Misc. Healthy parts/ Non Ferrous  Scrap, Lying at TRY Bathinda. Quantity in MT - </v>
      </c>
      <c r="H1106" s="427" t="str">
        <f ca="1">CONCATENATE(G1106,G1107,(INDIRECT(I1107)),(INDIRECT(J1107)),(INDIRECT(K1107)),(INDIRECT(L1107)),(INDIRECT(M1107)),(INDIRECT(N1107)),(INDIRECT(O1107)),(INDIRECT(P1107)),(INDIRECT(Q1107)),(INDIRECT(R1107)),".")</f>
        <v>Misc. Healthy parts/ Non Ferrous  Scrap, Lying at TRY Bathinda. Quantity in MT - Brass scrap - 1, .</v>
      </c>
      <c r="I1106" s="98" t="str">
        <f aca="true" ca="1" t="array" ref="I1106">CELL("address",INDEX(G1106:G1130,MATCH(TRUE,ISBLANK(G1106:G1130),0)))</f>
        <v>$G$1108</v>
      </c>
      <c r="J1106" s="98">
        <f aca="true" t="array" ref="J1106">MATCH(TRUE,ISBLANK(G1106:G1130),0)</f>
        <v>3</v>
      </c>
      <c r="K1106" s="98">
        <f>J1106-3</f>
        <v>0</v>
      </c>
      <c r="L1106" s="98"/>
      <c r="M1106" s="98"/>
      <c r="N1106" s="98"/>
      <c r="O1106" s="98"/>
      <c r="P1106" s="98"/>
      <c r="Q1106" s="98"/>
      <c r="R1106" s="98"/>
    </row>
    <row r="1107" spans="1:18" ht="15" customHeight="1">
      <c r="A1107" s="329" t="s">
        <v>134</v>
      </c>
      <c r="B1107" s="329"/>
      <c r="C1107" s="212" t="s">
        <v>36</v>
      </c>
      <c r="D1107" s="40" t="s">
        <v>23</v>
      </c>
      <c r="E1107" s="46">
        <v>1</v>
      </c>
      <c r="G1107" s="102" t="str">
        <f>CONCATENATE(D1107," - ",E1107,", ")</f>
        <v>Brass scrap - 1, </v>
      </c>
      <c r="H1107" s="427"/>
      <c r="I1107" s="98" t="str">
        <f ca="1">IF(J1106&gt;=3,(MID(I1106,2,1)&amp;MID(I1106,4,4)-K1106),CELL("address",Z1107))</f>
        <v>G1108</v>
      </c>
      <c r="J1107" s="98" t="str">
        <f ca="1">IF(J1106&gt;=4,(MID(I1107,1,1)&amp;MID(I1107,2,4)+1),CELL("address",AA1107))</f>
        <v>$AA$1107</v>
      </c>
      <c r="K1107" s="98" t="str">
        <f ca="1">IF(J1106&gt;=5,(MID(J1107,1,1)&amp;MID(J1107,2,4)+1),CELL("address",AB1107))</f>
        <v>$AB$1107</v>
      </c>
      <c r="L1107" s="98" t="str">
        <f ca="1">IF(J1106&gt;=6,(MID(K1107,1,1)&amp;MID(K1107,2,4)+1),CELL("address",AC1107))</f>
        <v>$AC$1107</v>
      </c>
      <c r="M1107" s="98" t="str">
        <f ca="1">IF(J1106&gt;=7,(MID(L1107,1,1)&amp;MID(L1107,2,4)+1),CELL("address",AD1107))</f>
        <v>$AD$1107</v>
      </c>
      <c r="N1107" s="98" t="str">
        <f ca="1">IF(J1106&gt;=8,(MID(M1107,1,1)&amp;MID(M1107,2,4)+1),CELL("address",AE1107))</f>
        <v>$AE$1107</v>
      </c>
      <c r="O1107" s="98" t="str">
        <f ca="1">IF(J1106&gt;=9,(MID(N1107,1,1)&amp;MID(N1107,2,4)+1),CELL("address",AF1107))</f>
        <v>$AF$1107</v>
      </c>
      <c r="P1107" s="98" t="str">
        <f ca="1">IF(J1106&gt;=10,(MID(O1107,1,1)&amp;MID(O1107,2,4)+1),CELL("address",AG1107))</f>
        <v>$AG$1107</v>
      </c>
      <c r="Q1107" s="98" t="str">
        <f ca="1">IF(J1106&gt;=11,(MID(P1107,1,1)&amp;MID(P1107,2,4)+1),CELL("address",AH1107))</f>
        <v>$AH$1107</v>
      </c>
      <c r="R1107" s="98" t="str">
        <f ca="1">IF(J1106&gt;=12,(MID(Q1107,1,1)&amp;MID(Q1107,2,4)+1),CELL("address",AI1107))</f>
        <v>$AI$1107</v>
      </c>
    </row>
    <row r="1108" spans="1:15" ht="15" customHeight="1">
      <c r="A1108" s="411"/>
      <c r="B1108" s="412"/>
      <c r="C1108" s="92"/>
      <c r="D1108" s="92"/>
      <c r="E1108" s="92"/>
      <c r="F1108" s="98"/>
      <c r="G1108" s="98"/>
      <c r="H1108" s="426"/>
      <c r="I1108" s="98"/>
      <c r="J1108" s="98"/>
      <c r="K1108" s="98"/>
      <c r="L1108" s="98"/>
      <c r="M1108" s="98"/>
      <c r="N1108" s="98"/>
      <c r="O1108" s="98"/>
    </row>
    <row r="1109" spans="1:15" ht="15" customHeight="1">
      <c r="A1109" s="335"/>
      <c r="B1109" s="336"/>
      <c r="C1109" s="66"/>
      <c r="D1109" s="66"/>
      <c r="E1109" s="67">
        <f>SUM(E1111:E1111)</f>
        <v>1</v>
      </c>
      <c r="F1109" s="98"/>
      <c r="G1109" s="98"/>
      <c r="H1109" s="426"/>
      <c r="I1109" s="98" t="str">
        <f ca="1">IF(G1108&gt;=6,(MID(H1109,1,1)&amp;MID(H1109,2,4)+1),CELL("address",Z1109))</f>
        <v>$Z$1109</v>
      </c>
      <c r="J1109" s="98" t="str">
        <f ca="1">IF(G1108&gt;=7,(MID(I1109,1,1)&amp;MID(I1109,2,4)+1),CELL("address",AA1109))</f>
        <v>$AA$1109</v>
      </c>
      <c r="K1109" s="98" t="str">
        <f ca="1">IF(G1108&gt;=8,(MID(J1109,1,1)&amp;MID(J1109,2,4)+1),CELL("address",AB1109))</f>
        <v>$AB$1109</v>
      </c>
      <c r="L1109" s="98" t="str">
        <f ca="1">IF(G1108&gt;=9,(MID(K1109,1,1)&amp;MID(K1109,2,4)+1),CELL("address",AC1109))</f>
        <v>$AC$1109</v>
      </c>
      <c r="M1109" s="98" t="str">
        <f ca="1">IF(G1108&gt;=10,(MID(L1109,1,1)&amp;MID(L1109,2,4)+1),CELL("address",AD1109))</f>
        <v>$AD$1109</v>
      </c>
      <c r="N1109" s="98" t="str">
        <f ca="1">IF(G1108&gt;=11,(MID(M1109,1,1)&amp;MID(M1109,2,4)+1),CELL("address",AE1109))</f>
        <v>$AE$1109</v>
      </c>
      <c r="O1109" s="98" t="str">
        <f ca="1">IF(G1108&gt;=12,(MID(N1109,1,1)&amp;MID(N1109,2,4)+1),CELL("address",AF1109))</f>
        <v>$AF$1109</v>
      </c>
    </row>
    <row r="1110" spans="1:18" ht="15" customHeight="1">
      <c r="A1110" s="329" t="s">
        <v>5</v>
      </c>
      <c r="B1110" s="329"/>
      <c r="C1110" s="64" t="s">
        <v>17</v>
      </c>
      <c r="D1110" s="65" t="s">
        <v>18</v>
      </c>
      <c r="E1110" s="64" t="s">
        <v>7</v>
      </c>
      <c r="G1110" s="170" t="str">
        <f>CONCATENATE("Misc. Healthy parts/ Non Ferrous  Scrap, Lying at ",C1111,". Quantity in MT - ")</f>
        <v>Misc. Healthy parts/ Non Ferrous  Scrap, Lying at TRY Bathinda. Quantity in MT - </v>
      </c>
      <c r="H1110" s="427" t="str">
        <f ca="1">CONCATENATE(G1110,G1111,(INDIRECT(I1111)),(INDIRECT(J1111)),(INDIRECT(K1111)),(INDIRECT(L1111)),(INDIRECT(M1111)),(INDIRECT(N1111)),(INDIRECT(O1111)),(INDIRECT(P1111)),(INDIRECT(Q1111)),(INDIRECT(R1111)),".")</f>
        <v>Misc. Healthy parts/ Non Ferrous  Scrap, Lying at TRY Bathinda. Quantity in MT - Brass scrap - 1, .</v>
      </c>
      <c r="I1110" s="98" t="str">
        <f aca="true" ca="1" t="array" ref="I1110">CELL("address",INDEX(G1110:G1134,MATCH(TRUE,ISBLANK(G1110:G1134),0)))</f>
        <v>$G$1112</v>
      </c>
      <c r="J1110" s="98">
        <f aca="true" t="array" ref="J1110">MATCH(TRUE,ISBLANK(G1110:G1134),0)</f>
        <v>3</v>
      </c>
      <c r="K1110" s="98">
        <f>J1110-3</f>
        <v>0</v>
      </c>
      <c r="L1110" s="98"/>
      <c r="M1110" s="98"/>
      <c r="N1110" s="98"/>
      <c r="O1110" s="98"/>
      <c r="P1110" s="98"/>
      <c r="Q1110" s="98"/>
      <c r="R1110" s="98"/>
    </row>
    <row r="1111" spans="1:18" ht="15" customHeight="1">
      <c r="A1111" s="329" t="s">
        <v>141</v>
      </c>
      <c r="B1111" s="329"/>
      <c r="C1111" s="212" t="s">
        <v>36</v>
      </c>
      <c r="D1111" s="40" t="s">
        <v>23</v>
      </c>
      <c r="E1111" s="46">
        <v>1</v>
      </c>
      <c r="G1111" s="102" t="str">
        <f>CONCATENATE(D1111," - ",E1111,", ")</f>
        <v>Brass scrap - 1, </v>
      </c>
      <c r="H1111" s="427"/>
      <c r="I1111" s="98" t="str">
        <f ca="1">IF(J1110&gt;=3,(MID(I1110,2,1)&amp;MID(I1110,4,4)-K1110),CELL("address",Z1111))</f>
        <v>G1112</v>
      </c>
      <c r="J1111" s="98" t="str">
        <f ca="1">IF(J1110&gt;=4,(MID(I1111,1,1)&amp;MID(I1111,2,4)+1),CELL("address",AA1111))</f>
        <v>$AA$1111</v>
      </c>
      <c r="K1111" s="98" t="str">
        <f ca="1">IF(J1110&gt;=5,(MID(J1111,1,1)&amp;MID(J1111,2,4)+1),CELL("address",AB1111))</f>
        <v>$AB$1111</v>
      </c>
      <c r="L1111" s="98" t="str">
        <f ca="1">IF(J1110&gt;=6,(MID(K1111,1,1)&amp;MID(K1111,2,4)+1),CELL("address",AC1111))</f>
        <v>$AC$1111</v>
      </c>
      <c r="M1111" s="98" t="str">
        <f ca="1">IF(J1110&gt;=7,(MID(L1111,1,1)&amp;MID(L1111,2,4)+1),CELL("address",AD1111))</f>
        <v>$AD$1111</v>
      </c>
      <c r="N1111" s="98" t="str">
        <f ca="1">IF(J1110&gt;=8,(MID(M1111,1,1)&amp;MID(M1111,2,4)+1),CELL("address",AE1111))</f>
        <v>$AE$1111</v>
      </c>
      <c r="O1111" s="98" t="str">
        <f ca="1">IF(J1110&gt;=9,(MID(N1111,1,1)&amp;MID(N1111,2,4)+1),CELL("address",AF1111))</f>
        <v>$AF$1111</v>
      </c>
      <c r="P1111" s="98" t="str">
        <f ca="1">IF(J1110&gt;=10,(MID(O1111,1,1)&amp;MID(O1111,2,4)+1),CELL("address",AG1111))</f>
        <v>$AG$1111</v>
      </c>
      <c r="Q1111" s="98" t="str">
        <f ca="1">IF(J1110&gt;=11,(MID(P1111,1,1)&amp;MID(P1111,2,4)+1),CELL("address",AH1111))</f>
        <v>$AH$1111</v>
      </c>
      <c r="R1111" s="98" t="str">
        <f ca="1">IF(J1110&gt;=12,(MID(Q1111,1,1)&amp;MID(Q1111,2,4)+1),CELL("address",AI1111))</f>
        <v>$AI$1111</v>
      </c>
    </row>
    <row r="1112" spans="1:15" ht="15" customHeight="1">
      <c r="A1112" s="411"/>
      <c r="B1112" s="412"/>
      <c r="C1112" s="92"/>
      <c r="D1112" s="92"/>
      <c r="E1112" s="92"/>
      <c r="F1112" s="98"/>
      <c r="G1112" s="98"/>
      <c r="H1112" s="426"/>
      <c r="I1112" s="98"/>
      <c r="J1112" s="98"/>
      <c r="K1112" s="98"/>
      <c r="L1112" s="98"/>
      <c r="M1112" s="98"/>
      <c r="N1112" s="98"/>
      <c r="O1112" s="98"/>
    </row>
    <row r="1113" spans="1:15" ht="15" customHeight="1">
      <c r="A1113" s="335"/>
      <c r="B1113" s="336"/>
      <c r="C1113" s="66"/>
      <c r="D1113" s="66"/>
      <c r="E1113" s="67">
        <f>SUM(E1115:E1115)</f>
        <v>1</v>
      </c>
      <c r="F1113" s="98"/>
      <c r="G1113" s="98"/>
      <c r="H1113" s="426"/>
      <c r="I1113" s="98" t="str">
        <f ca="1">IF(G1112&gt;=6,(MID(H1113,1,1)&amp;MID(H1113,2,4)+1),CELL("address",Z1113))</f>
        <v>$Z$1113</v>
      </c>
      <c r="J1113" s="98" t="str">
        <f ca="1">IF(G1112&gt;=7,(MID(I1113,1,1)&amp;MID(I1113,2,4)+1),CELL("address",AA1113))</f>
        <v>$AA$1113</v>
      </c>
      <c r="K1113" s="98" t="str">
        <f ca="1">IF(G1112&gt;=8,(MID(J1113,1,1)&amp;MID(J1113,2,4)+1),CELL("address",AB1113))</f>
        <v>$AB$1113</v>
      </c>
      <c r="L1113" s="98" t="str">
        <f ca="1">IF(G1112&gt;=9,(MID(K1113,1,1)&amp;MID(K1113,2,4)+1),CELL("address",AC1113))</f>
        <v>$AC$1113</v>
      </c>
      <c r="M1113" s="98" t="str">
        <f ca="1">IF(G1112&gt;=10,(MID(L1113,1,1)&amp;MID(L1113,2,4)+1),CELL("address",AD1113))</f>
        <v>$AD$1113</v>
      </c>
      <c r="N1113" s="98" t="str">
        <f ca="1">IF(G1112&gt;=11,(MID(M1113,1,1)&amp;MID(M1113,2,4)+1),CELL("address",AE1113))</f>
        <v>$AE$1113</v>
      </c>
      <c r="O1113" s="98" t="str">
        <f ca="1">IF(G1112&gt;=12,(MID(N1113,1,1)&amp;MID(N1113,2,4)+1),CELL("address",AF1113))</f>
        <v>$AF$1113</v>
      </c>
    </row>
    <row r="1114" spans="1:18" ht="15" customHeight="1">
      <c r="A1114" s="329" t="s">
        <v>5</v>
      </c>
      <c r="B1114" s="329"/>
      <c r="C1114" s="64" t="s">
        <v>17</v>
      </c>
      <c r="D1114" s="65" t="s">
        <v>18</v>
      </c>
      <c r="E1114" s="64" t="s">
        <v>7</v>
      </c>
      <c r="G1114" s="170" t="str">
        <f>CONCATENATE("Misc. Healthy parts/ Non Ferrous  Scrap, Lying at ",C1115,". Quantity in MT - ")</f>
        <v>Misc. Healthy parts/ Non Ferrous  Scrap, Lying at TRY Bathinda. Quantity in MT - </v>
      </c>
      <c r="H1114" s="427" t="str">
        <f ca="1">CONCATENATE(G1114,G1115,(INDIRECT(I1115)),(INDIRECT(J1115)),(INDIRECT(K1115)),(INDIRECT(L1115)),(INDIRECT(M1115)),(INDIRECT(N1115)),(INDIRECT(O1115)),(INDIRECT(P1115)),(INDIRECT(Q1115)),(INDIRECT(R1115)),".")</f>
        <v>Misc. Healthy parts/ Non Ferrous  Scrap, Lying at TRY Bathinda. Quantity in MT - Brass scrap - 1, .</v>
      </c>
      <c r="I1114" s="98" t="str">
        <f aca="true" ca="1" t="array" ref="I1114">CELL("address",INDEX(G1114:G1138,MATCH(TRUE,ISBLANK(G1114:G1138),0)))</f>
        <v>$G$1116</v>
      </c>
      <c r="J1114" s="98">
        <f aca="true" t="array" ref="J1114">MATCH(TRUE,ISBLANK(G1114:G1138),0)</f>
        <v>3</v>
      </c>
      <c r="K1114" s="98">
        <f>J1114-3</f>
        <v>0</v>
      </c>
      <c r="L1114" s="98"/>
      <c r="M1114" s="98"/>
      <c r="N1114" s="98"/>
      <c r="O1114" s="98"/>
      <c r="P1114" s="98"/>
      <c r="Q1114" s="98"/>
      <c r="R1114" s="98"/>
    </row>
    <row r="1115" spans="1:18" ht="15" customHeight="1">
      <c r="A1115" s="329" t="s">
        <v>196</v>
      </c>
      <c r="B1115" s="329"/>
      <c r="C1115" s="212" t="s">
        <v>36</v>
      </c>
      <c r="D1115" s="40" t="s">
        <v>23</v>
      </c>
      <c r="E1115" s="46">
        <v>1</v>
      </c>
      <c r="G1115" s="102" t="str">
        <f>CONCATENATE(D1115," - ",E1115,", ")</f>
        <v>Brass scrap - 1, </v>
      </c>
      <c r="H1115" s="427"/>
      <c r="I1115" s="98" t="str">
        <f ca="1">IF(J1114&gt;=3,(MID(I1114,2,1)&amp;MID(I1114,4,4)-K1114),CELL("address",Z1115))</f>
        <v>G1116</v>
      </c>
      <c r="J1115" s="98" t="str">
        <f ca="1">IF(J1114&gt;=4,(MID(I1115,1,1)&amp;MID(I1115,2,4)+1),CELL("address",AA1115))</f>
        <v>$AA$1115</v>
      </c>
      <c r="K1115" s="98" t="str">
        <f ca="1">IF(J1114&gt;=5,(MID(J1115,1,1)&amp;MID(J1115,2,4)+1),CELL("address",AB1115))</f>
        <v>$AB$1115</v>
      </c>
      <c r="L1115" s="98" t="str">
        <f ca="1">IF(J1114&gt;=6,(MID(K1115,1,1)&amp;MID(K1115,2,4)+1),CELL("address",AC1115))</f>
        <v>$AC$1115</v>
      </c>
      <c r="M1115" s="98" t="str">
        <f ca="1">IF(J1114&gt;=7,(MID(L1115,1,1)&amp;MID(L1115,2,4)+1),CELL("address",AD1115))</f>
        <v>$AD$1115</v>
      </c>
      <c r="N1115" s="98" t="str">
        <f ca="1">IF(J1114&gt;=8,(MID(M1115,1,1)&amp;MID(M1115,2,4)+1),CELL("address",AE1115))</f>
        <v>$AE$1115</v>
      </c>
      <c r="O1115" s="98" t="str">
        <f ca="1">IF(J1114&gt;=9,(MID(N1115,1,1)&amp;MID(N1115,2,4)+1),CELL("address",AF1115))</f>
        <v>$AF$1115</v>
      </c>
      <c r="P1115" s="98" t="str">
        <f ca="1">IF(J1114&gt;=10,(MID(O1115,1,1)&amp;MID(O1115,2,4)+1),CELL("address",AG1115))</f>
        <v>$AG$1115</v>
      </c>
      <c r="Q1115" s="98" t="str">
        <f ca="1">IF(J1114&gt;=11,(MID(P1115,1,1)&amp;MID(P1115,2,4)+1),CELL("address",AH1115))</f>
        <v>$AH$1115</v>
      </c>
      <c r="R1115" s="98" t="str">
        <f ca="1">IF(J1114&gt;=12,(MID(Q1115,1,1)&amp;MID(Q1115,2,4)+1),CELL("address",AI1115))</f>
        <v>$AI$1115</v>
      </c>
    </row>
    <row r="1116" spans="1:15" ht="15" customHeight="1">
      <c r="A1116" s="411"/>
      <c r="B1116" s="412"/>
      <c r="C1116" s="92"/>
      <c r="D1116" s="92"/>
      <c r="E1116" s="92"/>
      <c r="F1116" s="98"/>
      <c r="G1116" s="98"/>
      <c r="H1116" s="426"/>
      <c r="I1116" s="98"/>
      <c r="J1116" s="98"/>
      <c r="K1116" s="98"/>
      <c r="L1116" s="98"/>
      <c r="M1116" s="98"/>
      <c r="N1116" s="98"/>
      <c r="O1116" s="98"/>
    </row>
    <row r="1117" spans="1:15" ht="15" customHeight="1">
      <c r="A1117" s="335"/>
      <c r="B1117" s="336"/>
      <c r="C1117" s="66"/>
      <c r="D1117" s="66"/>
      <c r="E1117" s="67">
        <f>SUM(E1119:E1119)</f>
        <v>1</v>
      </c>
      <c r="F1117" s="98"/>
      <c r="G1117" s="98"/>
      <c r="H1117" s="426"/>
      <c r="I1117" s="98" t="str">
        <f ca="1">IF(G1116&gt;=6,(MID(H1117,1,1)&amp;MID(H1117,2,4)+1),CELL("address",Z1117))</f>
        <v>$Z$1117</v>
      </c>
      <c r="J1117" s="98" t="str">
        <f ca="1">IF(G1116&gt;=7,(MID(I1117,1,1)&amp;MID(I1117,2,4)+1),CELL("address",AA1117))</f>
        <v>$AA$1117</v>
      </c>
      <c r="K1117" s="98" t="str">
        <f ca="1">IF(G1116&gt;=8,(MID(J1117,1,1)&amp;MID(J1117,2,4)+1),CELL("address",AB1117))</f>
        <v>$AB$1117</v>
      </c>
      <c r="L1117" s="98" t="str">
        <f ca="1">IF(G1116&gt;=9,(MID(K1117,1,1)&amp;MID(K1117,2,4)+1),CELL("address",AC1117))</f>
        <v>$AC$1117</v>
      </c>
      <c r="M1117" s="98" t="str">
        <f ca="1">IF(G1116&gt;=10,(MID(L1117,1,1)&amp;MID(L1117,2,4)+1),CELL("address",AD1117))</f>
        <v>$AD$1117</v>
      </c>
      <c r="N1117" s="98" t="str">
        <f ca="1">IF(G1116&gt;=11,(MID(M1117,1,1)&amp;MID(M1117,2,4)+1),CELL("address",AE1117))</f>
        <v>$AE$1117</v>
      </c>
      <c r="O1117" s="98" t="str">
        <f ca="1">IF(G1116&gt;=12,(MID(N1117,1,1)&amp;MID(N1117,2,4)+1),CELL("address",AF1117))</f>
        <v>$AF$1117</v>
      </c>
    </row>
    <row r="1118" spans="1:18" ht="15" customHeight="1">
      <c r="A1118" s="329" t="s">
        <v>5</v>
      </c>
      <c r="B1118" s="329"/>
      <c r="C1118" s="64" t="s">
        <v>17</v>
      </c>
      <c r="D1118" s="65" t="s">
        <v>18</v>
      </c>
      <c r="E1118" s="64" t="s">
        <v>7</v>
      </c>
      <c r="G1118" s="170" t="str">
        <f>CONCATENATE("Misc. Healthy parts/ Non Ferrous  Scrap, Lying at ",C1119,". Quantity in MT - ")</f>
        <v>Misc. Healthy parts/ Non Ferrous  Scrap, Lying at TRY Bathinda. Quantity in MT - </v>
      </c>
      <c r="H1118" s="427" t="str">
        <f ca="1">CONCATENATE(G1118,G1119,(INDIRECT(I1119)),(INDIRECT(J1119)),(INDIRECT(K1119)),(INDIRECT(L1119)),(INDIRECT(M1119)),(INDIRECT(N1119)),(INDIRECT(O1119)),(INDIRECT(P1119)),(INDIRECT(Q1119)),(INDIRECT(R1119)),".")</f>
        <v>Misc. Healthy parts/ Non Ferrous  Scrap, Lying at TRY Bathinda. Quantity in MT - Brass scrap - 1, .</v>
      </c>
      <c r="I1118" s="98" t="str">
        <f aca="true" ca="1" t="array" ref="I1118">CELL("address",INDEX(G1118:G1142,MATCH(TRUE,ISBLANK(G1118:G1142),0)))</f>
        <v>$G$1120</v>
      </c>
      <c r="J1118" s="98">
        <f aca="true" t="array" ref="J1118">MATCH(TRUE,ISBLANK(G1118:G1142),0)</f>
        <v>3</v>
      </c>
      <c r="K1118" s="98">
        <f>J1118-3</f>
        <v>0</v>
      </c>
      <c r="L1118" s="98"/>
      <c r="M1118" s="98"/>
      <c r="N1118" s="98"/>
      <c r="O1118" s="98"/>
      <c r="P1118" s="98"/>
      <c r="Q1118" s="98"/>
      <c r="R1118" s="98"/>
    </row>
    <row r="1119" spans="1:18" ht="15" customHeight="1">
      <c r="A1119" s="329" t="s">
        <v>203</v>
      </c>
      <c r="B1119" s="329"/>
      <c r="C1119" s="212" t="s">
        <v>36</v>
      </c>
      <c r="D1119" s="40" t="s">
        <v>23</v>
      </c>
      <c r="E1119" s="46">
        <v>1</v>
      </c>
      <c r="G1119" s="102" t="str">
        <f>CONCATENATE(D1119," - ",E1119,", ")</f>
        <v>Brass scrap - 1, </v>
      </c>
      <c r="H1119" s="427"/>
      <c r="I1119" s="98" t="str">
        <f ca="1">IF(J1118&gt;=3,(MID(I1118,2,1)&amp;MID(I1118,4,4)-K1118),CELL("address",Z1119))</f>
        <v>G1120</v>
      </c>
      <c r="J1119" s="98" t="str">
        <f ca="1">IF(J1118&gt;=4,(MID(I1119,1,1)&amp;MID(I1119,2,4)+1),CELL("address",AA1119))</f>
        <v>$AA$1119</v>
      </c>
      <c r="K1119" s="98" t="str">
        <f ca="1">IF(J1118&gt;=5,(MID(J1119,1,1)&amp;MID(J1119,2,4)+1),CELL("address",AB1119))</f>
        <v>$AB$1119</v>
      </c>
      <c r="L1119" s="98" t="str">
        <f ca="1">IF(J1118&gt;=6,(MID(K1119,1,1)&amp;MID(K1119,2,4)+1),CELL("address",AC1119))</f>
        <v>$AC$1119</v>
      </c>
      <c r="M1119" s="98" t="str">
        <f ca="1">IF(J1118&gt;=7,(MID(L1119,1,1)&amp;MID(L1119,2,4)+1),CELL("address",AD1119))</f>
        <v>$AD$1119</v>
      </c>
      <c r="N1119" s="98" t="str">
        <f ca="1">IF(J1118&gt;=8,(MID(M1119,1,1)&amp;MID(M1119,2,4)+1),CELL("address",AE1119))</f>
        <v>$AE$1119</v>
      </c>
      <c r="O1119" s="98" t="str">
        <f ca="1">IF(J1118&gt;=9,(MID(N1119,1,1)&amp;MID(N1119,2,4)+1),CELL("address",AF1119))</f>
        <v>$AF$1119</v>
      </c>
      <c r="P1119" s="98" t="str">
        <f ca="1">IF(J1118&gt;=10,(MID(O1119,1,1)&amp;MID(O1119,2,4)+1),CELL("address",AG1119))</f>
        <v>$AG$1119</v>
      </c>
      <c r="Q1119" s="98" t="str">
        <f ca="1">IF(J1118&gt;=11,(MID(P1119,1,1)&amp;MID(P1119,2,4)+1),CELL("address",AH1119))</f>
        <v>$AH$1119</v>
      </c>
      <c r="R1119" s="98" t="str">
        <f ca="1">IF(J1118&gt;=12,(MID(Q1119,1,1)&amp;MID(Q1119,2,4)+1),CELL("address",AI1119))</f>
        <v>$AI$1119</v>
      </c>
    </row>
    <row r="1120" spans="1:8" ht="15" customHeight="1">
      <c r="A1120" s="51"/>
      <c r="B1120" s="54"/>
      <c r="C1120" s="19"/>
      <c r="D1120" s="54"/>
      <c r="E1120" s="96"/>
      <c r="H1120" s="1"/>
    </row>
    <row r="1121" spans="1:8" ht="15" customHeight="1">
      <c r="A1121" s="335"/>
      <c r="B1121" s="336"/>
      <c r="C1121" s="66"/>
      <c r="D1121" s="66"/>
      <c r="E1121" s="67">
        <f>SUM(E1123:E1127)</f>
        <v>3.617</v>
      </c>
      <c r="H1121" s="1"/>
    </row>
    <row r="1122" spans="1:18" ht="15" customHeight="1">
      <c r="A1122" s="329" t="s">
        <v>5</v>
      </c>
      <c r="B1122" s="329"/>
      <c r="C1122" s="64" t="s">
        <v>17</v>
      </c>
      <c r="D1122" s="65" t="s">
        <v>18</v>
      </c>
      <c r="E1122" s="64" t="s">
        <v>7</v>
      </c>
      <c r="F1122" s="98"/>
      <c r="G1122" s="170" t="str">
        <f>CONCATENATE("Misc. Healthy parts/ Non Ferrous  Scrap, Lying at ",C1123,". Quantity in MT - ")</f>
        <v>Misc. Healthy parts/ Non Ferrous  Scrap, Lying at TRY Kotkapura. Quantity in MT - </v>
      </c>
      <c r="H1122" s="427" t="str">
        <f ca="1">CONCATENATE(G1122,G1123,(INDIRECT(I1123)),(INDIRECT(J1123)),(INDIRECT(K1123)),(INDIRECT(L1123)),(INDIRECT(M1123)),(INDIRECT(N1123)),(INDIRECT(O1123)),(INDIRECT(P1123)),(INDIRECT(Q1123)),(INDIRECT(R1123)),".")</f>
        <v>Misc. Healthy parts/ Non Ferrous  Scrap, Lying at TRY Kotkapura. Quantity in MT - Brass scrap - 2.059, Misc. Alumn. Scrap - 0.324, Iron scrap - 0.128, Burnt Cu scrap - 0.052, Nuts &amp; Bolts scrap - 1.054, .</v>
      </c>
      <c r="I1122" s="98" t="str">
        <f aca="true" ca="1" t="array" ref="I1122">CELL("address",INDEX(G1122:G1146,MATCH(TRUE,ISBLANK(G1122:G1146),0)))</f>
        <v>$G$1128</v>
      </c>
      <c r="J1122" s="98">
        <f aca="true" t="array" ref="J1122">MATCH(TRUE,ISBLANK(G1122:G1146),0)</f>
        <v>7</v>
      </c>
      <c r="K1122" s="98">
        <f>J1122-3</f>
        <v>4</v>
      </c>
      <c r="L1122" s="98"/>
      <c r="M1122" s="98"/>
      <c r="N1122" s="98"/>
      <c r="O1122" s="98"/>
      <c r="P1122" s="98"/>
      <c r="Q1122" s="98"/>
      <c r="R1122" s="98"/>
    </row>
    <row r="1123" spans="1:18" ht="15" customHeight="1">
      <c r="A1123" s="329" t="s">
        <v>210</v>
      </c>
      <c r="B1123" s="329"/>
      <c r="C1123" s="327" t="s">
        <v>247</v>
      </c>
      <c r="D1123" s="45" t="s">
        <v>23</v>
      </c>
      <c r="E1123" s="47">
        <v>2.059</v>
      </c>
      <c r="F1123" s="98"/>
      <c r="G1123" s="102" t="str">
        <f>CONCATENATE(D1123," - ",E1123,", ")</f>
        <v>Brass scrap - 2.059, </v>
      </c>
      <c r="H1123" s="427"/>
      <c r="I1123" s="98" t="str">
        <f ca="1">IF(J1122&gt;=3,(MID(I1122,2,1)&amp;MID(I1122,4,4)-K1122),CELL("address",Z1123))</f>
        <v>G1124</v>
      </c>
      <c r="J1123" s="98" t="str">
        <f ca="1">IF(J1122&gt;=4,(MID(I1123,1,1)&amp;MID(I1123,2,4)+1),CELL("address",AA1123))</f>
        <v>G1125</v>
      </c>
      <c r="K1123" s="98" t="str">
        <f ca="1">IF(J1122&gt;=5,(MID(J1123,1,1)&amp;MID(J1123,2,4)+1),CELL("address",AB1123))</f>
        <v>G1126</v>
      </c>
      <c r="L1123" s="98" t="str">
        <f ca="1">IF(J1122&gt;=6,(MID(K1123,1,1)&amp;MID(K1123,2,4)+1),CELL("address",AC1123))</f>
        <v>G1127</v>
      </c>
      <c r="M1123" s="98" t="str">
        <f ca="1">IF(J1122&gt;=7,(MID(L1123,1,1)&amp;MID(L1123,2,4)+1),CELL("address",AD1123))</f>
        <v>G1128</v>
      </c>
      <c r="N1123" s="98" t="str">
        <f ca="1">IF(J1122&gt;=8,(MID(M1123,1,1)&amp;MID(M1123,2,4)+1),CELL("address",AE1123))</f>
        <v>$AE$1123</v>
      </c>
      <c r="O1123" s="98" t="str">
        <f ca="1">IF(J1122&gt;=9,(MID(N1123,1,1)&amp;MID(N1123,2,4)+1),CELL("address",AF1123))</f>
        <v>$AF$1123</v>
      </c>
      <c r="P1123" s="98" t="str">
        <f ca="1">IF(J1122&gt;=10,(MID(O1123,1,1)&amp;MID(O1123,2,4)+1),CELL("address",AG1123))</f>
        <v>$AG$1123</v>
      </c>
      <c r="Q1123" s="98" t="str">
        <f ca="1">IF(J1122&gt;=11,(MID(P1123,1,1)&amp;MID(P1123,2,4)+1),CELL("address",AH1123))</f>
        <v>$AH$1123</v>
      </c>
      <c r="R1123" s="98" t="str">
        <f ca="1">IF(J1122&gt;=12,(MID(Q1123,1,1)&amp;MID(Q1123,2,4)+1),CELL("address",AI1123))</f>
        <v>$AI$1123</v>
      </c>
    </row>
    <row r="1124" spans="1:8" ht="15" customHeight="1">
      <c r="A1124" s="329"/>
      <c r="B1124" s="329"/>
      <c r="C1124" s="327"/>
      <c r="D1124" s="45" t="s">
        <v>31</v>
      </c>
      <c r="E1124" s="64">
        <v>0.324</v>
      </c>
      <c r="G1124" s="102" t="str">
        <f>CONCATENATE(D1124," - ",E1124,", ")</f>
        <v>Misc. Alumn. Scrap - 0.324, </v>
      </c>
      <c r="H1124" s="1"/>
    </row>
    <row r="1125" spans="1:8" ht="15" customHeight="1">
      <c r="A1125" s="329"/>
      <c r="B1125" s="329"/>
      <c r="C1125" s="327"/>
      <c r="D1125" s="40" t="s">
        <v>27</v>
      </c>
      <c r="E1125" s="64">
        <v>0.128</v>
      </c>
      <c r="G1125" s="102" t="str">
        <f>CONCATENATE(D1125," - ",E1125,", ")</f>
        <v>Iron scrap - 0.128, </v>
      </c>
      <c r="H1125" s="1"/>
    </row>
    <row r="1126" spans="1:8" ht="15" customHeight="1">
      <c r="A1126" s="329"/>
      <c r="B1126" s="329"/>
      <c r="C1126" s="327"/>
      <c r="D1126" s="40" t="s">
        <v>37</v>
      </c>
      <c r="E1126" s="64">
        <v>0.052</v>
      </c>
      <c r="G1126" s="102" t="str">
        <f>CONCATENATE(D1126," - ",E1126,", ")</f>
        <v>Burnt Cu scrap - 0.052, </v>
      </c>
      <c r="H1126" s="1"/>
    </row>
    <row r="1127" spans="1:8" ht="15" customHeight="1">
      <c r="A1127" s="329"/>
      <c r="B1127" s="329"/>
      <c r="C1127" s="327"/>
      <c r="D1127" s="40" t="s">
        <v>58</v>
      </c>
      <c r="E1127" s="64">
        <v>1.054</v>
      </c>
      <c r="G1127" s="102" t="str">
        <f>CONCATENATE(D1127," - ",E1127,", ")</f>
        <v>Nuts &amp; Bolts scrap - 1.054, </v>
      </c>
      <c r="H1127" s="1"/>
    </row>
    <row r="1128" spans="1:8" ht="15" customHeight="1">
      <c r="A1128" s="325"/>
      <c r="B1128" s="326"/>
      <c r="C1128" s="212"/>
      <c r="D1128" s="220"/>
      <c r="E1128" s="104"/>
      <c r="H1128" s="1"/>
    </row>
    <row r="1129" spans="1:8" ht="15" customHeight="1">
      <c r="A1129" s="335"/>
      <c r="B1129" s="336"/>
      <c r="C1129" s="66"/>
      <c r="D1129" s="66"/>
      <c r="E1129" s="67">
        <f>SUM(E1131:E1134)</f>
        <v>1.557</v>
      </c>
      <c r="H1129" s="1"/>
    </row>
    <row r="1130" spans="1:18" ht="15" customHeight="1">
      <c r="A1130" s="325" t="s">
        <v>5</v>
      </c>
      <c r="B1130" s="326"/>
      <c r="C1130" s="64" t="s">
        <v>17</v>
      </c>
      <c r="D1130" s="65" t="s">
        <v>18</v>
      </c>
      <c r="E1130" s="64" t="s">
        <v>7</v>
      </c>
      <c r="G1130" s="170" t="str">
        <f>CONCATENATE("Misc. Healthy parts/ Non Ferrous  Scrap, Lying at ",C1131,". Quantity in MT - ")</f>
        <v>Misc. Healthy parts/ Non Ferrous  Scrap, Lying at TRY Mansa. Quantity in MT - </v>
      </c>
      <c r="H1130" s="427" t="str">
        <f ca="1">CONCATENATE(G1130,G1131,(INDIRECT(I1131)),(INDIRECT(J1131)),(INDIRECT(K1131)),(INDIRECT(L1131)),(INDIRECT(M1131)),(INDIRECT(N1131)),(INDIRECT(O1131)),(INDIRECT(P1131)),(INDIRECT(Q1131)),(INDIRECT(R1131)),".")</f>
        <v>Misc. Healthy parts/ Non Ferrous  Scrap, Lying at TRY Mansa. Quantity in MT - Brass scrap - 1.302, Misc. Aluminium scrap - 0.147, Burnt Cu scrap - 0.027,  Iron scrap - 0.081, .</v>
      </c>
      <c r="I1130" s="98" t="str">
        <f aca="true" ca="1" t="array" ref="I1130">CELL("address",INDEX(G1130:G1152,MATCH(TRUE,ISBLANK(G1130:G1152),0)))</f>
        <v>$G$1135</v>
      </c>
      <c r="J1130" s="98">
        <f aca="true" t="array" ref="J1130">MATCH(TRUE,ISBLANK(G1130:G1152),0)</f>
        <v>6</v>
      </c>
      <c r="K1130" s="98">
        <f>J1130-3</f>
        <v>3</v>
      </c>
      <c r="L1130" s="98"/>
      <c r="M1130" s="98"/>
      <c r="N1130" s="98"/>
      <c r="O1130" s="98"/>
      <c r="P1130" s="98"/>
      <c r="Q1130" s="98"/>
      <c r="R1130" s="98"/>
    </row>
    <row r="1131" spans="1:18" ht="15" customHeight="1">
      <c r="A1131" s="329" t="s">
        <v>234</v>
      </c>
      <c r="B1131" s="329"/>
      <c r="C1131" s="327" t="s">
        <v>166</v>
      </c>
      <c r="D1131" s="40" t="s">
        <v>23</v>
      </c>
      <c r="E1131" s="46">
        <v>1.302</v>
      </c>
      <c r="F1131" s="98"/>
      <c r="G1131" s="102" t="str">
        <f>CONCATENATE(D1131," - ",E1131,", ")</f>
        <v>Brass scrap - 1.302, </v>
      </c>
      <c r="H1131" s="427"/>
      <c r="I1131" s="98" t="str">
        <f ca="1">IF(J1130&gt;=3,(MID(I1130,2,1)&amp;MID(I1130,4,4)-K1130),CELL("address",Z1131))</f>
        <v>G1132</v>
      </c>
      <c r="J1131" s="98" t="str">
        <f ca="1">IF(J1130&gt;=4,(MID(I1131,1,1)&amp;MID(I1131,2,4)+1),CELL("address",AA1131))</f>
        <v>G1133</v>
      </c>
      <c r="K1131" s="98" t="str">
        <f ca="1">IF(J1130&gt;=5,(MID(J1131,1,1)&amp;MID(J1131,2,4)+1),CELL("address",AB1131))</f>
        <v>G1134</v>
      </c>
      <c r="L1131" s="98" t="str">
        <f ca="1">IF(J1130&gt;=6,(MID(K1131,1,1)&amp;MID(K1131,2,4)+1),CELL("address",AC1131))</f>
        <v>G1135</v>
      </c>
      <c r="M1131" s="98" t="str">
        <f ca="1">IF(J1130&gt;=7,(MID(L1131,1,1)&amp;MID(L1131,2,4)+1),CELL("address",AD1131))</f>
        <v>$AD$1131</v>
      </c>
      <c r="N1131" s="98" t="str">
        <f ca="1">IF(J1130&gt;=8,(MID(M1131,1,1)&amp;MID(M1131,2,4)+1),CELL("address",AE1131))</f>
        <v>$AE$1131</v>
      </c>
      <c r="O1131" s="98" t="str">
        <f ca="1">IF(J1130&gt;=9,(MID(N1131,1,1)&amp;MID(N1131,2,4)+1),CELL("address",AF1131))</f>
        <v>$AF$1131</v>
      </c>
      <c r="P1131" s="98" t="str">
        <f ca="1">IF(J1130&gt;=10,(MID(O1131,1,1)&amp;MID(O1131,2,4)+1),CELL("address",AG1131))</f>
        <v>$AG$1131</v>
      </c>
      <c r="Q1131" s="98" t="str">
        <f ca="1">IF(J1130&gt;=11,(MID(P1131,1,1)&amp;MID(P1131,2,4)+1),CELL("address",AH1131))</f>
        <v>$AH$1131</v>
      </c>
      <c r="R1131" s="98" t="str">
        <f ca="1">IF(J1130&gt;=12,(MID(Q1131,1,1)&amp;MID(Q1131,2,4)+1),CELL("address",AI1131))</f>
        <v>$AI$1131</v>
      </c>
    </row>
    <row r="1132" spans="1:15" ht="15" customHeight="1">
      <c r="A1132" s="329"/>
      <c r="B1132" s="329"/>
      <c r="C1132" s="327"/>
      <c r="D1132" s="40" t="s">
        <v>24</v>
      </c>
      <c r="E1132" s="46">
        <v>0.147</v>
      </c>
      <c r="F1132" s="98"/>
      <c r="G1132" s="102" t="str">
        <f>CONCATENATE(D1132," - ",E1132,", ")</f>
        <v>Misc. Aluminium scrap - 0.147, </v>
      </c>
      <c r="H1132" s="426"/>
      <c r="I1132" s="98" t="e">
        <f ca="1">IF(G1131&gt;=6,(MID(H1132,1,1)&amp;MID(H1132,2,4)+1),CELL("address",Z1132))</f>
        <v>#VALUE!</v>
      </c>
      <c r="J1132" s="98" t="e">
        <f ca="1">IF(G1131&gt;=7,(MID(I1132,1,1)&amp;MID(I1132,2,4)+1),CELL("address",AA1132))</f>
        <v>#VALUE!</v>
      </c>
      <c r="K1132" s="98" t="e">
        <f ca="1">IF(G1131&gt;=8,(MID(J1132,1,1)&amp;MID(J1132,2,4)+1),CELL("address",AB1132))</f>
        <v>#VALUE!</v>
      </c>
      <c r="L1132" s="98" t="e">
        <f ca="1">IF(G1131&gt;=9,(MID(K1132,1,1)&amp;MID(K1132,2,4)+1),CELL("address",AC1132))</f>
        <v>#VALUE!</v>
      </c>
      <c r="M1132" s="98" t="e">
        <f ca="1">IF(G1131&gt;=10,(MID(L1132,1,1)&amp;MID(L1132,2,4)+1),CELL("address",AD1132))</f>
        <v>#VALUE!</v>
      </c>
      <c r="N1132" s="98" t="e">
        <f ca="1">IF(G1131&gt;=11,(MID(M1132,1,1)&amp;MID(M1132,2,4)+1),CELL("address",AE1132))</f>
        <v>#VALUE!</v>
      </c>
      <c r="O1132" s="98" t="e">
        <f ca="1">IF(G1131&gt;=12,(MID(N1132,1,1)&amp;MID(N1132,2,4)+1),CELL("address",AF1132))</f>
        <v>#VALUE!</v>
      </c>
    </row>
    <row r="1133" spans="1:8" ht="15" customHeight="1">
      <c r="A1133" s="329"/>
      <c r="B1133" s="329"/>
      <c r="C1133" s="327"/>
      <c r="D1133" s="40" t="s">
        <v>37</v>
      </c>
      <c r="E1133" s="46">
        <v>0.027</v>
      </c>
      <c r="G1133" s="102" t="str">
        <f>CONCATENATE(D1133," - ",E1133,", ")</f>
        <v>Burnt Cu scrap - 0.027, </v>
      </c>
      <c r="H1133" s="1"/>
    </row>
    <row r="1134" spans="1:8" ht="15" customHeight="1">
      <c r="A1134" s="329"/>
      <c r="B1134" s="329"/>
      <c r="C1134" s="327"/>
      <c r="D1134" s="45" t="s">
        <v>75</v>
      </c>
      <c r="E1134" s="46">
        <v>0.081</v>
      </c>
      <c r="G1134" s="102" t="str">
        <f>CONCATENATE(D1134," - ",E1134,", ")</f>
        <v> Iron scrap - 0.081, </v>
      </c>
      <c r="H1134" s="1"/>
    </row>
    <row r="1135" spans="1:8" ht="15" customHeight="1">
      <c r="A1135" s="35"/>
      <c r="B1135" s="1"/>
      <c r="C1135" s="1"/>
      <c r="D1135" s="1"/>
      <c r="E1135" s="1"/>
      <c r="H1135" s="1"/>
    </row>
    <row r="1136" spans="1:8" ht="15" customHeight="1">
      <c r="A1136" s="335"/>
      <c r="B1136" s="336"/>
      <c r="C1136" s="66"/>
      <c r="D1136" s="66"/>
      <c r="E1136" s="67">
        <f>SUM(E1138:E1142)</f>
        <v>2.086</v>
      </c>
      <c r="H1136" s="1"/>
    </row>
    <row r="1137" spans="1:18" ht="15" customHeight="1">
      <c r="A1137" s="325" t="s">
        <v>5</v>
      </c>
      <c r="B1137" s="326"/>
      <c r="C1137" s="64" t="s">
        <v>17</v>
      </c>
      <c r="D1137" s="65" t="s">
        <v>18</v>
      </c>
      <c r="E1137" s="64" t="s">
        <v>7</v>
      </c>
      <c r="G1137" s="170" t="str">
        <f>CONCATENATE("Misc. Healthy parts/ Non Ferrous  Scrap, Lying at ",C1138,". Quantity in MT - ")</f>
        <v>Misc. Healthy parts/ Non Ferrous  Scrap, Lying at TRY Bhagta Bhai Ka. Quantity in MT - </v>
      </c>
      <c r="H1137" s="427" t="str">
        <f ca="1">CONCATENATE(G1137,G1138,(INDIRECT(I1138)),(INDIRECT(J1138)),(INDIRECT(K1138)),(INDIRECT(L1138)),(INDIRECT(M1138)),(INDIRECT(N1138)),(INDIRECT(O1138)),(INDIRECT(P1138)),(INDIRECT(Q1138)),(INDIRECT(R1138)),".")</f>
        <v>Misc. Healthy parts/ Non Ferrous  Scrap, Lying at TRY Bhagta Bhai Ka. Quantity in MT - Brass scrap - 1.22, Misc. Aluminium scrap - 0.151, Burnt Cu scrap - 0.037,  Iron scrap - 0.088, Nuts &amp; Bolts scrap - 0.59, .</v>
      </c>
      <c r="I1137" s="98" t="str">
        <f aca="true" ca="1" t="array" ref="I1137">CELL("address",INDEX(G1137:G1161,MATCH(TRUE,ISBLANK(G1137:G1161),0)))</f>
        <v>$G$1143</v>
      </c>
      <c r="J1137" s="98">
        <f aca="true" t="array" ref="J1137">MATCH(TRUE,ISBLANK(G1137:G1161),0)</f>
        <v>7</v>
      </c>
      <c r="K1137" s="98">
        <f>J1137-3</f>
        <v>4</v>
      </c>
      <c r="L1137" s="98"/>
      <c r="M1137" s="98"/>
      <c r="N1137" s="98"/>
      <c r="O1137" s="98"/>
      <c r="P1137" s="98"/>
      <c r="Q1137" s="98"/>
      <c r="R1137" s="98"/>
    </row>
    <row r="1138" spans="1:18" ht="15" customHeight="1">
      <c r="A1138" s="347" t="s">
        <v>194</v>
      </c>
      <c r="B1138" s="348"/>
      <c r="C1138" s="337" t="s">
        <v>132</v>
      </c>
      <c r="D1138" s="40" t="s">
        <v>23</v>
      </c>
      <c r="E1138" s="46">
        <v>1.22</v>
      </c>
      <c r="G1138" s="102" t="str">
        <f>CONCATENATE(D1138," - ",E1138,", ")</f>
        <v>Brass scrap - 1.22, </v>
      </c>
      <c r="H1138" s="427"/>
      <c r="I1138" s="98" t="str">
        <f ca="1">IF(J1137&gt;=3,(MID(I1137,2,1)&amp;MID(I1137,4,4)-K1137),CELL("address",Z1138))</f>
        <v>G1139</v>
      </c>
      <c r="J1138" s="98" t="str">
        <f ca="1">IF(J1137&gt;=4,(MID(I1138,1,1)&amp;MID(I1138,2,4)+1),CELL("address",AA1138))</f>
        <v>G1140</v>
      </c>
      <c r="K1138" s="98" t="str">
        <f ca="1">IF(J1137&gt;=5,(MID(J1138,1,1)&amp;MID(J1138,2,4)+1),CELL("address",AB1138))</f>
        <v>G1141</v>
      </c>
      <c r="L1138" s="98" t="str">
        <f ca="1">IF(J1137&gt;=6,(MID(K1138,1,1)&amp;MID(K1138,2,4)+1),CELL("address",AC1138))</f>
        <v>G1142</v>
      </c>
      <c r="M1138" s="98" t="str">
        <f ca="1">IF(J1137&gt;=7,(MID(L1138,1,1)&amp;MID(L1138,2,4)+1),CELL("address",AD1138))</f>
        <v>G1143</v>
      </c>
      <c r="N1138" s="98" t="str">
        <f ca="1">IF(J1137&gt;=8,(MID(M1138,1,1)&amp;MID(M1138,2,4)+1),CELL("address",AE1138))</f>
        <v>$AE$1138</v>
      </c>
      <c r="O1138" s="98" t="str">
        <f ca="1">IF(J1137&gt;=9,(MID(N1138,1,1)&amp;MID(N1138,2,4)+1),CELL("address",AF1138))</f>
        <v>$AF$1138</v>
      </c>
      <c r="P1138" s="98" t="str">
        <f ca="1">IF(J1137&gt;=10,(MID(O1138,1,1)&amp;MID(O1138,2,4)+1),CELL("address",AG1138))</f>
        <v>$AG$1138</v>
      </c>
      <c r="Q1138" s="98" t="str">
        <f ca="1">IF(J1137&gt;=11,(MID(P1138,1,1)&amp;MID(P1138,2,4)+1),CELL("address",AH1138))</f>
        <v>$AH$1138</v>
      </c>
      <c r="R1138" s="98" t="str">
        <f ca="1">IF(J1137&gt;=12,(MID(Q1138,1,1)&amp;MID(Q1138,2,4)+1),CELL("address",AI1138))</f>
        <v>$AI$1138</v>
      </c>
    </row>
    <row r="1139" spans="1:15" ht="15" customHeight="1">
      <c r="A1139" s="352"/>
      <c r="B1139" s="353"/>
      <c r="C1139" s="338"/>
      <c r="D1139" s="40" t="s">
        <v>24</v>
      </c>
      <c r="E1139" s="46">
        <v>0.151</v>
      </c>
      <c r="F1139" s="98"/>
      <c r="G1139" s="102" t="str">
        <f>CONCATENATE(D1139," - ",E1139,", ")</f>
        <v>Misc. Aluminium scrap - 0.151, </v>
      </c>
      <c r="H1139" s="426"/>
      <c r="I1139" s="98"/>
      <c r="J1139" s="98"/>
      <c r="K1139" s="98"/>
      <c r="L1139" s="98"/>
      <c r="M1139" s="98"/>
      <c r="N1139" s="98"/>
      <c r="O1139" s="98"/>
    </row>
    <row r="1140" spans="1:15" ht="15" customHeight="1">
      <c r="A1140" s="352"/>
      <c r="B1140" s="353"/>
      <c r="C1140" s="338"/>
      <c r="D1140" s="40" t="s">
        <v>37</v>
      </c>
      <c r="E1140" s="46">
        <v>0.037</v>
      </c>
      <c r="F1140" s="98"/>
      <c r="G1140" s="102" t="str">
        <f>CONCATENATE(D1140," - ",E1140,", ")</f>
        <v>Burnt Cu scrap - 0.037, </v>
      </c>
      <c r="H1140" s="426"/>
      <c r="I1140" s="98" t="e">
        <f ca="1">IF(G1139&gt;=6,(MID(H1140,1,1)&amp;MID(H1140,2,4)+1),CELL("address",Z1140))</f>
        <v>#VALUE!</v>
      </c>
      <c r="J1140" s="98" t="e">
        <f ca="1">IF(G1139&gt;=7,(MID(I1140,1,1)&amp;MID(I1140,2,4)+1),CELL("address",AA1140))</f>
        <v>#VALUE!</v>
      </c>
      <c r="K1140" s="98" t="e">
        <f ca="1">IF(G1139&gt;=8,(MID(J1140,1,1)&amp;MID(J1140,2,4)+1),CELL("address",AB1140))</f>
        <v>#VALUE!</v>
      </c>
      <c r="L1140" s="98" t="e">
        <f ca="1">IF(G1139&gt;=9,(MID(K1140,1,1)&amp;MID(K1140,2,4)+1),CELL("address",AC1140))</f>
        <v>#VALUE!</v>
      </c>
      <c r="M1140" s="98" t="e">
        <f ca="1">IF(G1139&gt;=10,(MID(L1140,1,1)&amp;MID(L1140,2,4)+1),CELL("address",AD1140))</f>
        <v>#VALUE!</v>
      </c>
      <c r="N1140" s="98" t="e">
        <f ca="1">IF(G1139&gt;=11,(MID(M1140,1,1)&amp;MID(M1140,2,4)+1),CELL("address",AE1140))</f>
        <v>#VALUE!</v>
      </c>
      <c r="O1140" s="98" t="e">
        <f ca="1">IF(G1139&gt;=12,(MID(N1140,1,1)&amp;MID(N1140,2,4)+1),CELL("address",AF1140))</f>
        <v>#VALUE!</v>
      </c>
    </row>
    <row r="1141" spans="1:8" ht="15" customHeight="1">
      <c r="A1141" s="352"/>
      <c r="B1141" s="353"/>
      <c r="C1141" s="338"/>
      <c r="D1141" s="45" t="s">
        <v>75</v>
      </c>
      <c r="E1141" s="46">
        <v>0.088</v>
      </c>
      <c r="G1141" s="102" t="str">
        <f>CONCATENATE(D1141," - ",E1141,", ")</f>
        <v> Iron scrap - 0.088, </v>
      </c>
      <c r="H1141" s="1"/>
    </row>
    <row r="1142" spans="1:8" ht="15" customHeight="1">
      <c r="A1142" s="354"/>
      <c r="B1142" s="355"/>
      <c r="C1142" s="339"/>
      <c r="D1142" s="40" t="s">
        <v>58</v>
      </c>
      <c r="E1142" s="46">
        <v>0.59</v>
      </c>
      <c r="G1142" s="102" t="str">
        <f>CONCATENATE(D1142," - ",E1142,", ")</f>
        <v>Nuts &amp; Bolts scrap - 0.59, </v>
      </c>
      <c r="H1142" s="1"/>
    </row>
    <row r="1143" spans="1:15" ht="15" customHeight="1">
      <c r="A1143" s="51"/>
      <c r="B1143" s="54"/>
      <c r="C1143" s="19"/>
      <c r="D1143" s="54"/>
      <c r="E1143" s="96"/>
      <c r="F1143" s="98"/>
      <c r="G1143" s="98"/>
      <c r="H1143" s="426"/>
      <c r="I1143" s="98"/>
      <c r="J1143" s="98"/>
      <c r="K1143" s="98"/>
      <c r="L1143" s="98"/>
      <c r="M1143" s="98"/>
      <c r="N1143" s="98"/>
      <c r="O1143" s="98"/>
    </row>
    <row r="1144" spans="1:15" ht="15" customHeight="1">
      <c r="A1144" s="335"/>
      <c r="B1144" s="336"/>
      <c r="C1144" s="66"/>
      <c r="D1144" s="66"/>
      <c r="E1144" s="119">
        <f>SUM(E1146:E1146)</f>
        <v>0.029</v>
      </c>
      <c r="F1144" s="98"/>
      <c r="G1144" s="98"/>
      <c r="H1144" s="426"/>
      <c r="I1144" s="98" t="str">
        <f ca="1">IF(G1143&gt;=6,(MID(H1144,1,1)&amp;MID(H1144,2,4)+1),CELL("address",Z1144))</f>
        <v>$Z$1144</v>
      </c>
      <c r="J1144" s="98" t="str">
        <f ca="1">IF(G1143&gt;=7,(MID(I1144,1,1)&amp;MID(I1144,2,4)+1),CELL("address",AA1144))</f>
        <v>$AA$1144</v>
      </c>
      <c r="K1144" s="98" t="str">
        <f ca="1">IF(G1143&gt;=8,(MID(J1144,1,1)&amp;MID(J1144,2,4)+1),CELL("address",AB1144))</f>
        <v>$AB$1144</v>
      </c>
      <c r="L1144" s="98" t="str">
        <f ca="1">IF(G1143&gt;=9,(MID(K1144,1,1)&amp;MID(K1144,2,4)+1),CELL("address",AC1144))</f>
        <v>$AC$1144</v>
      </c>
      <c r="M1144" s="98" t="str">
        <f ca="1">IF(G1143&gt;=10,(MID(L1144,1,1)&amp;MID(L1144,2,4)+1),CELL("address",AD1144))</f>
        <v>$AD$1144</v>
      </c>
      <c r="N1144" s="98" t="str">
        <f ca="1">IF(G1143&gt;=11,(MID(M1144,1,1)&amp;MID(M1144,2,4)+1),CELL("address",AE1144))</f>
        <v>$AE$1144</v>
      </c>
      <c r="O1144" s="98" t="str">
        <f ca="1">IF(G1143&gt;=12,(MID(N1144,1,1)&amp;MID(N1144,2,4)+1),CELL("address",AF1144))</f>
        <v>$AF$1144</v>
      </c>
    </row>
    <row r="1145" spans="1:18" ht="15" customHeight="1">
      <c r="A1145" s="329" t="s">
        <v>5</v>
      </c>
      <c r="B1145" s="329"/>
      <c r="C1145" s="64" t="s">
        <v>17</v>
      </c>
      <c r="D1145" s="65" t="s">
        <v>18</v>
      </c>
      <c r="E1145" s="68" t="s">
        <v>7</v>
      </c>
      <c r="G1145" s="170" t="str">
        <f>CONCATENATE("Misc. Healthy parts/ Non Ferrous  Scrap, Lying at ",C1146,". Quantity in MT - ")</f>
        <v>Misc. Healthy parts/ Non Ferrous  Scrap, Lying at OL Barnala. Quantity in MT - </v>
      </c>
      <c r="H1145" s="427" t="str">
        <f ca="1">CONCATENATE(G1145,G1146,(INDIRECT(I1146)),(INDIRECT(J1146)),(INDIRECT(K1146)),(INDIRECT(L1146)),(INDIRECT(M1146)),(INDIRECT(N1146)),(INDIRECT(O1146)),(INDIRECT(P1146)),(INDIRECT(Q1146)),(INDIRECT(R1146)),".")</f>
        <v>Misc. Healthy parts/ Non Ferrous  Scrap, Lying at OL Barnala. Quantity in MT - Misc. copper scrap - 0.029, .</v>
      </c>
      <c r="I1145" s="98" t="str">
        <f aca="true" ca="1" t="array" ref="I1145">CELL("address",INDEX(G1145:G1169,MATCH(TRUE,ISBLANK(G1145:G1169),0)))</f>
        <v>$G$1147</v>
      </c>
      <c r="J1145" s="98">
        <f aca="true" t="array" ref="J1145">MATCH(TRUE,ISBLANK(G1145:G1169),0)</f>
        <v>3</v>
      </c>
      <c r="K1145" s="98">
        <f>J1145-3</f>
        <v>0</v>
      </c>
      <c r="L1145" s="98"/>
      <c r="M1145" s="98"/>
      <c r="N1145" s="98"/>
      <c r="O1145" s="98"/>
      <c r="P1145" s="98"/>
      <c r="Q1145" s="98"/>
      <c r="R1145" s="98"/>
    </row>
    <row r="1146" spans="1:18" ht="15" customHeight="1">
      <c r="A1146" s="329" t="s">
        <v>195</v>
      </c>
      <c r="B1146" s="329"/>
      <c r="C1146" s="212" t="s">
        <v>190</v>
      </c>
      <c r="D1146" s="253" t="s">
        <v>111</v>
      </c>
      <c r="E1146" s="288">
        <v>0.029</v>
      </c>
      <c r="F1146" s="1">
        <v>0.021</v>
      </c>
      <c r="G1146" s="102" t="str">
        <f>CONCATENATE(D1146," - ",E1146,", ")</f>
        <v>Misc. copper scrap - 0.029, </v>
      </c>
      <c r="H1146" s="427"/>
      <c r="I1146" s="98" t="str">
        <f ca="1">IF(J1145&gt;=3,(MID(I1145,2,1)&amp;MID(I1145,4,4)-K1145),CELL("address",Z1146))</f>
        <v>G1147</v>
      </c>
      <c r="J1146" s="98" t="str">
        <f ca="1">IF(J1145&gt;=4,(MID(I1146,1,1)&amp;MID(I1146,2,4)+1),CELL("address",AA1146))</f>
        <v>$AA$1146</v>
      </c>
      <c r="K1146" s="98" t="str">
        <f ca="1">IF(J1145&gt;=5,(MID(J1146,1,1)&amp;MID(J1146,2,4)+1),CELL("address",AB1146))</f>
        <v>$AB$1146</v>
      </c>
      <c r="L1146" s="98" t="str">
        <f ca="1">IF(J1145&gt;=6,(MID(K1146,1,1)&amp;MID(K1146,2,4)+1),CELL("address",AC1146))</f>
        <v>$AC$1146</v>
      </c>
      <c r="M1146" s="98" t="str">
        <f ca="1">IF(J1145&gt;=7,(MID(L1146,1,1)&amp;MID(L1146,2,4)+1),CELL("address",AD1146))</f>
        <v>$AD$1146</v>
      </c>
      <c r="N1146" s="98" t="str">
        <f ca="1">IF(J1145&gt;=8,(MID(M1146,1,1)&amp;MID(M1146,2,4)+1),CELL("address",AE1146))</f>
        <v>$AE$1146</v>
      </c>
      <c r="O1146" s="98" t="str">
        <f ca="1">IF(J1145&gt;=9,(MID(N1146,1,1)&amp;MID(N1146,2,4)+1),CELL("address",AF1146))</f>
        <v>$AF$1146</v>
      </c>
      <c r="P1146" s="98" t="str">
        <f ca="1">IF(J1145&gt;=10,(MID(O1146,1,1)&amp;MID(O1146,2,4)+1),CELL("address",AG1146))</f>
        <v>$AG$1146</v>
      </c>
      <c r="Q1146" s="98" t="str">
        <f ca="1">IF(J1145&gt;=11,(MID(P1146,1,1)&amp;MID(P1146,2,4)+1),CELL("address",AH1146))</f>
        <v>$AH$1146</v>
      </c>
      <c r="R1146" s="98" t="str">
        <f ca="1">IF(J1145&gt;=12,(MID(Q1146,1,1)&amp;MID(Q1146,2,4)+1),CELL("address",AI1146))</f>
        <v>$AI$1146</v>
      </c>
    </row>
    <row r="1147" spans="1:8" ht="15" customHeight="1">
      <c r="A1147" s="35"/>
      <c r="B1147" s="1"/>
      <c r="C1147" s="1"/>
      <c r="D1147" s="1"/>
      <c r="E1147" s="1"/>
      <c r="H1147" s="1"/>
    </row>
    <row r="1148" spans="1:8" ht="15" customHeight="1">
      <c r="A1148" s="335"/>
      <c r="B1148" s="336"/>
      <c r="C1148" s="66"/>
      <c r="D1148" s="66"/>
      <c r="E1148" s="119">
        <f>SUM(E1150:E1154)</f>
        <v>3.0719999999999996</v>
      </c>
      <c r="H1148" s="1"/>
    </row>
    <row r="1149" spans="1:18" ht="15" customHeight="1">
      <c r="A1149" s="329" t="s">
        <v>5</v>
      </c>
      <c r="B1149" s="329"/>
      <c r="C1149" s="64" t="s">
        <v>17</v>
      </c>
      <c r="D1149" s="65" t="s">
        <v>18</v>
      </c>
      <c r="E1149" s="68" t="s">
        <v>7</v>
      </c>
      <c r="F1149" s="98"/>
      <c r="G1149" s="170" t="str">
        <f>CONCATENATE("Misc. Healthy parts/ Non Ferrous  Scrap, Lying at ",C1150,". Quantity in MT - ")</f>
        <v>Misc. Healthy parts/ Non Ferrous  Scrap, Lying at TRY Moga. Quantity in MT - </v>
      </c>
      <c r="H1149" s="427" t="str">
        <f ca="1">CONCATENATE(G1149,G1150,(INDIRECT(I1150)),(INDIRECT(J1150)),(INDIRECT(K1150)),(INDIRECT(L1150)),(INDIRECT(M1150)),(INDIRECT(N1150)),(INDIRECT(O1150)),(INDIRECT(P1150)),(INDIRECT(Q1150)),(INDIRECT(R1150)),".")</f>
        <v>Misc. Healthy parts/ Non Ferrous  Scrap, Lying at TRY Moga. Quantity in MT - Brass scrap - 1.769, Misc. Alumn. Scrap - 0.301, Iron scrap - 0.125, Burnt Cu scrap - 0.062, Nuts &amp; Bolts scrap - 0.815, .</v>
      </c>
      <c r="I1149" s="98" t="str">
        <f aca="true" ca="1" t="array" ref="I1149">CELL("address",INDEX(G1149:G1173,MATCH(TRUE,ISBLANK(G1149:G1173),0)))</f>
        <v>$G$1155</v>
      </c>
      <c r="J1149" s="98">
        <f aca="true" t="array" ref="J1149">MATCH(TRUE,ISBLANK(G1149:G1173),0)</f>
        <v>7</v>
      </c>
      <c r="K1149" s="98">
        <f>J1149-3</f>
        <v>4</v>
      </c>
      <c r="L1149" s="98"/>
      <c r="M1149" s="98"/>
      <c r="N1149" s="98"/>
      <c r="O1149" s="98"/>
      <c r="P1149" s="98"/>
      <c r="Q1149" s="98"/>
      <c r="R1149" s="98"/>
    </row>
    <row r="1150" spans="1:18" ht="15" customHeight="1">
      <c r="A1150" s="329" t="s">
        <v>235</v>
      </c>
      <c r="B1150" s="329"/>
      <c r="C1150" s="327" t="s">
        <v>222</v>
      </c>
      <c r="D1150" s="45" t="s">
        <v>23</v>
      </c>
      <c r="E1150" s="120">
        <v>1.769</v>
      </c>
      <c r="F1150" s="98"/>
      <c r="G1150" s="102" t="str">
        <f>CONCATENATE(D1150," - ",E1150,", ")</f>
        <v>Brass scrap - 1.769, </v>
      </c>
      <c r="H1150" s="427"/>
      <c r="I1150" s="98" t="str">
        <f ca="1">IF(J1149&gt;=3,(MID(I1149,2,1)&amp;MID(I1149,4,4)-K1149),CELL("address",Z1150))</f>
        <v>G1151</v>
      </c>
      <c r="J1150" s="98" t="str">
        <f ca="1">IF(J1149&gt;=4,(MID(I1150,1,1)&amp;MID(I1150,2,4)+1),CELL("address",AA1150))</f>
        <v>G1152</v>
      </c>
      <c r="K1150" s="98" t="str">
        <f ca="1">IF(J1149&gt;=5,(MID(J1150,1,1)&amp;MID(J1150,2,4)+1),CELL("address",AB1150))</f>
        <v>G1153</v>
      </c>
      <c r="L1150" s="98" t="str">
        <f ca="1">IF(J1149&gt;=6,(MID(K1150,1,1)&amp;MID(K1150,2,4)+1),CELL("address",AC1150))</f>
        <v>G1154</v>
      </c>
      <c r="M1150" s="98" t="str">
        <f ca="1">IF(J1149&gt;=7,(MID(L1150,1,1)&amp;MID(L1150,2,4)+1),CELL("address",AD1150))</f>
        <v>G1155</v>
      </c>
      <c r="N1150" s="98" t="str">
        <f ca="1">IF(J1149&gt;=8,(MID(M1150,1,1)&amp;MID(M1150,2,4)+1),CELL("address",AE1150))</f>
        <v>$AE$1150</v>
      </c>
      <c r="O1150" s="98" t="str">
        <f ca="1">IF(J1149&gt;=9,(MID(N1150,1,1)&amp;MID(N1150,2,4)+1),CELL("address",AF1150))</f>
        <v>$AF$1150</v>
      </c>
      <c r="P1150" s="98" t="str">
        <f ca="1">IF(J1149&gt;=10,(MID(O1150,1,1)&amp;MID(O1150,2,4)+1),CELL("address",AG1150))</f>
        <v>$AG$1150</v>
      </c>
      <c r="Q1150" s="98" t="str">
        <f ca="1">IF(J1149&gt;=11,(MID(P1150,1,1)&amp;MID(P1150,2,4)+1),CELL("address",AH1150))</f>
        <v>$AH$1150</v>
      </c>
      <c r="R1150" s="98" t="str">
        <f ca="1">IF(J1149&gt;=12,(MID(Q1150,1,1)&amp;MID(Q1150,2,4)+1),CELL("address",AI1150))</f>
        <v>$AI$1150</v>
      </c>
    </row>
    <row r="1151" spans="1:15" ht="15" customHeight="1">
      <c r="A1151" s="329"/>
      <c r="B1151" s="329"/>
      <c r="C1151" s="327"/>
      <c r="D1151" s="45" t="s">
        <v>31</v>
      </c>
      <c r="E1151" s="68">
        <v>0.301</v>
      </c>
      <c r="F1151" s="98"/>
      <c r="G1151" s="102" t="str">
        <f>CONCATENATE(D1151," - ",E1151,", ")</f>
        <v>Misc. Alumn. Scrap - 0.301, </v>
      </c>
      <c r="H1151" s="426"/>
      <c r="I1151" s="98"/>
      <c r="J1151" s="98"/>
      <c r="K1151" s="98"/>
      <c r="L1151" s="98"/>
      <c r="M1151" s="98"/>
      <c r="N1151" s="98"/>
      <c r="O1151" s="98"/>
    </row>
    <row r="1152" spans="1:8" ht="15" customHeight="1">
      <c r="A1152" s="329"/>
      <c r="B1152" s="329"/>
      <c r="C1152" s="327"/>
      <c r="D1152" s="40" t="s">
        <v>27</v>
      </c>
      <c r="E1152" s="68">
        <v>0.125</v>
      </c>
      <c r="G1152" s="102" t="str">
        <f>CONCATENATE(D1152," - ",E1152,", ")</f>
        <v>Iron scrap - 0.125, </v>
      </c>
      <c r="H1152" s="1"/>
    </row>
    <row r="1153" spans="1:8" ht="15" customHeight="1">
      <c r="A1153" s="329"/>
      <c r="B1153" s="329"/>
      <c r="C1153" s="327"/>
      <c r="D1153" s="40" t="s">
        <v>37</v>
      </c>
      <c r="E1153" s="64">
        <v>0.062</v>
      </c>
      <c r="G1153" s="102" t="str">
        <f>CONCATENATE(D1153," - ",E1153,", ")</f>
        <v>Burnt Cu scrap - 0.062, </v>
      </c>
      <c r="H1153" s="1"/>
    </row>
    <row r="1154" spans="1:8" ht="15" customHeight="1">
      <c r="A1154" s="329"/>
      <c r="B1154" s="329"/>
      <c r="C1154" s="327"/>
      <c r="D1154" s="40" t="s">
        <v>58</v>
      </c>
      <c r="E1154" s="64">
        <v>0.815</v>
      </c>
      <c r="G1154" s="203" t="str">
        <f>CONCATENATE(D1154," - ",E1154,", ")</f>
        <v>Nuts &amp; Bolts scrap - 0.815, </v>
      </c>
      <c r="H1154" s="1"/>
    </row>
    <row r="1155" spans="1:8" ht="15" customHeight="1">
      <c r="A1155" s="35"/>
      <c r="B1155" s="1"/>
      <c r="C1155" s="1"/>
      <c r="D1155" s="1"/>
      <c r="E1155" s="1"/>
      <c r="H1155" s="1"/>
    </row>
    <row r="1156" spans="1:15" ht="15" customHeight="1">
      <c r="A1156" s="335"/>
      <c r="B1156" s="336"/>
      <c r="C1156" s="66"/>
      <c r="D1156" s="66"/>
      <c r="E1156" s="119">
        <f>SUM(E1158:E1159)</f>
        <v>0.346</v>
      </c>
      <c r="F1156" s="98"/>
      <c r="G1156" s="98"/>
      <c r="H1156" s="426"/>
      <c r="I1156" s="98"/>
      <c r="J1156" s="98"/>
      <c r="K1156" s="98"/>
      <c r="L1156" s="98"/>
      <c r="M1156" s="98"/>
      <c r="N1156" s="98"/>
      <c r="O1156" s="98"/>
    </row>
    <row r="1157" spans="1:18" ht="15" customHeight="1">
      <c r="A1157" s="329" t="s">
        <v>5</v>
      </c>
      <c r="B1157" s="329"/>
      <c r="C1157" s="64" t="s">
        <v>17</v>
      </c>
      <c r="D1157" s="65" t="s">
        <v>18</v>
      </c>
      <c r="E1157" s="68" t="s">
        <v>7</v>
      </c>
      <c r="F1157" s="98"/>
      <c r="G1157" s="170" t="str">
        <f>CONCATENATE("Misc. Healthy parts/ Non Ferrous  Scrap, Lying at ",C1158,". Quantity in MT - ")</f>
        <v>Misc. Healthy parts/ Non Ferrous  Scrap, Lying at CS Ferozepur. Quantity in MT - </v>
      </c>
      <c r="H1157" s="427" t="str">
        <f ca="1">CONCATENATE(G1157,G1158,(INDIRECT(I1158)),(INDIRECT(J1158)),(INDIRECT(K1158)),(INDIRECT(L1158)),(INDIRECT(M1158)),(INDIRECT(N1158)),(INDIRECT(O1158)),(INDIRECT(P1158)),(INDIRECT(Q1158)),(INDIRECT(R1158)),".")</f>
        <v>Misc. Healthy parts/ Non Ferrous  Scrap, Lying at CS Ferozepur. Quantity in MT - Misc. copper scrap - 0.174, All Alumn. Conductor Scrap - 0.172, .</v>
      </c>
      <c r="I1157" s="98" t="str">
        <f aca="true" ca="1" t="array" ref="I1157">CELL("address",INDEX(G1157:G1179,MATCH(TRUE,ISBLANK(G1157:G1179),0)))</f>
        <v>$G$1160</v>
      </c>
      <c r="J1157" s="98">
        <f aca="true" t="array" ref="J1157">MATCH(TRUE,ISBLANK(G1157:G1179),0)</f>
        <v>4</v>
      </c>
      <c r="K1157" s="98">
        <f>J1157-3</f>
        <v>1</v>
      </c>
      <c r="L1157" s="98"/>
      <c r="M1157" s="98"/>
      <c r="N1157" s="98"/>
      <c r="O1157" s="98"/>
      <c r="P1157" s="98"/>
      <c r="Q1157" s="98"/>
      <c r="R1157" s="98"/>
    </row>
    <row r="1158" spans="1:18" ht="15" customHeight="1">
      <c r="A1158" s="328" t="s">
        <v>249</v>
      </c>
      <c r="B1158" s="328"/>
      <c r="C1158" s="327" t="s">
        <v>99</v>
      </c>
      <c r="D1158" s="60" t="s">
        <v>111</v>
      </c>
      <c r="E1158" s="69">
        <v>0.174</v>
      </c>
      <c r="G1158" s="102" t="str">
        <f>CONCATENATE(D1158," - ",E1158,", ")</f>
        <v>Misc. copper scrap - 0.174, </v>
      </c>
      <c r="H1158" s="427"/>
      <c r="I1158" s="98" t="str">
        <f ca="1">IF(J1157&gt;=3,(MID(I1157,2,1)&amp;MID(I1157,4,4)-K1157),CELL("address",Z1158))</f>
        <v>G1159</v>
      </c>
      <c r="J1158" s="98" t="str">
        <f ca="1">IF(J1157&gt;=4,(MID(I1158,1,1)&amp;MID(I1158,2,4)+1),CELL("address",AA1158))</f>
        <v>G1160</v>
      </c>
      <c r="K1158" s="98" t="str">
        <f ca="1">IF(J1157&gt;=5,(MID(J1158,1,1)&amp;MID(J1158,2,4)+1),CELL("address",AB1158))</f>
        <v>$AB$1158</v>
      </c>
      <c r="L1158" s="98" t="str">
        <f ca="1">IF(J1157&gt;=6,(MID(K1158,1,1)&amp;MID(K1158,2,4)+1),CELL("address",AC1158))</f>
        <v>$AC$1158</v>
      </c>
      <c r="M1158" s="98" t="str">
        <f ca="1">IF(J1157&gt;=7,(MID(L1158,1,1)&amp;MID(L1158,2,4)+1),CELL("address",AD1158))</f>
        <v>$AD$1158</v>
      </c>
      <c r="N1158" s="98" t="str">
        <f ca="1">IF(J1157&gt;=8,(MID(M1158,1,1)&amp;MID(M1158,2,4)+1),CELL("address",AE1158))</f>
        <v>$AE$1158</v>
      </c>
      <c r="O1158" s="98" t="str">
        <f ca="1">IF(J1157&gt;=9,(MID(N1158,1,1)&amp;MID(N1158,2,4)+1),CELL("address",AF1158))</f>
        <v>$AF$1158</v>
      </c>
      <c r="P1158" s="98" t="str">
        <f ca="1">IF(J1157&gt;=10,(MID(O1158,1,1)&amp;MID(O1158,2,4)+1),CELL("address",AG1158))</f>
        <v>$AG$1158</v>
      </c>
      <c r="Q1158" s="98" t="str">
        <f ca="1">IF(J1157&gt;=11,(MID(P1158,1,1)&amp;MID(P1158,2,4)+1),CELL("address",AH1158))</f>
        <v>$AH$1158</v>
      </c>
      <c r="R1158" s="98" t="str">
        <f ca="1">IF(J1157&gt;=12,(MID(Q1158,1,1)&amp;MID(Q1158,2,4)+1),CELL("address",AI1158))</f>
        <v>$AI$1158</v>
      </c>
    </row>
    <row r="1159" spans="1:8" ht="15" customHeight="1">
      <c r="A1159" s="328"/>
      <c r="B1159" s="328"/>
      <c r="C1159" s="327"/>
      <c r="D1159" s="45" t="s">
        <v>32</v>
      </c>
      <c r="E1159" s="46">
        <v>0.172</v>
      </c>
      <c r="G1159" s="102" t="str">
        <f>CONCATENATE(D1159," - ",E1159,", ")</f>
        <v>All Alumn. Conductor Scrap - 0.172, </v>
      </c>
      <c r="H1159" s="1"/>
    </row>
    <row r="1160" spans="1:8" ht="15" customHeight="1">
      <c r="A1160" s="35"/>
      <c r="B1160" s="1"/>
      <c r="C1160" s="1"/>
      <c r="D1160" s="1"/>
      <c r="E1160" s="1"/>
      <c r="H1160" s="1"/>
    </row>
    <row r="1161" spans="1:8" ht="15" customHeight="1">
      <c r="A1161" s="335"/>
      <c r="B1161" s="336"/>
      <c r="C1161" s="66"/>
      <c r="D1161" s="66"/>
      <c r="E1161" s="119">
        <f>SUM(E1163:E1166)</f>
        <v>0.36700000000000005</v>
      </c>
      <c r="H1161" s="1"/>
    </row>
    <row r="1162" spans="1:18" ht="15" customHeight="1">
      <c r="A1162" s="329" t="s">
        <v>5</v>
      </c>
      <c r="B1162" s="329"/>
      <c r="C1162" s="64" t="s">
        <v>17</v>
      </c>
      <c r="D1162" s="65" t="s">
        <v>18</v>
      </c>
      <c r="E1162" s="68" t="s">
        <v>7</v>
      </c>
      <c r="G1162" s="170" t="str">
        <f>CONCATENATE("Misc. Healthy parts/ Non Ferrous  Scrap, Lying at ",C1163,". Quantity in MT - ")</f>
        <v>Misc. Healthy parts/ Non Ferrous  Scrap, Lying at TRY Barnala. Quantity in MT - </v>
      </c>
      <c r="H1162" s="427" t="str">
        <f ca="1">CONCATENATE(G1162,G1163,(INDIRECT(I1163)),(INDIRECT(J1163)),(INDIRECT(K1163)),(INDIRECT(L1163)),(INDIRECT(M1163)),(INDIRECT(N1163)),(INDIRECT(O1163)),(INDIRECT(P1163)),(INDIRECT(Q1163)),(INDIRECT(R1163)),".")</f>
        <v>Misc. Healthy parts/ Non Ferrous  Scrap, Lying at TRY Barnala. Quantity in MT - Brass scrap - 0.276, Misc. Alumn. Scrap - 0.011, Iron scrap - 0.066, Burnt Cu scrap - 0.014, .</v>
      </c>
      <c r="I1162" s="98" t="str">
        <f aca="true" ca="1" t="array" ref="I1162">CELL("address",INDEX(G1162:G1184,MATCH(TRUE,ISBLANK(G1162:G1184),0)))</f>
        <v>$G$1167</v>
      </c>
      <c r="J1162" s="98">
        <f aca="true" t="array" ref="J1162">MATCH(TRUE,ISBLANK(G1162:G1184),0)</f>
        <v>6</v>
      </c>
      <c r="K1162" s="98">
        <f>J1162-3</f>
        <v>3</v>
      </c>
      <c r="L1162" s="98"/>
      <c r="M1162" s="98"/>
      <c r="N1162" s="98"/>
      <c r="O1162" s="98"/>
      <c r="P1162" s="98"/>
      <c r="Q1162" s="98"/>
      <c r="R1162" s="98"/>
    </row>
    <row r="1163" spans="1:18" ht="13.5" customHeight="1">
      <c r="A1163" s="328" t="s">
        <v>265</v>
      </c>
      <c r="B1163" s="328"/>
      <c r="C1163" s="327" t="s">
        <v>325</v>
      </c>
      <c r="D1163" s="34" t="s">
        <v>23</v>
      </c>
      <c r="E1163" s="159">
        <v>0.276</v>
      </c>
      <c r="F1163" s="98">
        <v>0.2</v>
      </c>
      <c r="G1163" s="102" t="str">
        <f>CONCATENATE(D1163," - ",E1163,", ")</f>
        <v>Brass scrap - 0.276, </v>
      </c>
      <c r="H1163" s="427"/>
      <c r="I1163" s="98" t="str">
        <f ca="1">IF(J1162&gt;=3,(MID(I1162,2,1)&amp;MID(I1162,4,4)-K1162),CELL("address",Z1163))</f>
        <v>G1164</v>
      </c>
      <c r="J1163" s="98" t="str">
        <f ca="1">IF(J1162&gt;=4,(MID(I1163,1,1)&amp;MID(I1163,2,4)+1),CELL("address",AA1163))</f>
        <v>G1165</v>
      </c>
      <c r="K1163" s="98" t="str">
        <f ca="1">IF(J1162&gt;=5,(MID(J1163,1,1)&amp;MID(J1163,2,4)+1),CELL("address",AB1163))</f>
        <v>G1166</v>
      </c>
      <c r="L1163" s="98" t="str">
        <f ca="1">IF(J1162&gt;=6,(MID(K1163,1,1)&amp;MID(K1163,2,4)+1),CELL("address",AC1163))</f>
        <v>G1167</v>
      </c>
      <c r="M1163" s="98" t="str">
        <f ca="1">IF(J1162&gt;=7,(MID(L1163,1,1)&amp;MID(L1163,2,4)+1),CELL("address",AD1163))</f>
        <v>$AD$1163</v>
      </c>
      <c r="N1163" s="98" t="str">
        <f ca="1">IF(J1162&gt;=8,(MID(M1163,1,1)&amp;MID(M1163,2,4)+1),CELL("address",AE1163))</f>
        <v>$AE$1163</v>
      </c>
      <c r="O1163" s="98" t="str">
        <f ca="1">IF(J1162&gt;=9,(MID(N1163,1,1)&amp;MID(N1163,2,4)+1),CELL("address",AF1163))</f>
        <v>$AF$1163</v>
      </c>
      <c r="P1163" s="98" t="str">
        <f ca="1">IF(J1162&gt;=10,(MID(O1163,1,1)&amp;MID(O1163,2,4)+1),CELL("address",AG1163))</f>
        <v>$AG$1163</v>
      </c>
      <c r="Q1163" s="98" t="str">
        <f ca="1">IF(J1162&gt;=11,(MID(P1163,1,1)&amp;MID(P1163,2,4)+1),CELL("address",AH1163))</f>
        <v>$AH$1163</v>
      </c>
      <c r="R1163" s="98" t="str">
        <f ca="1">IF(J1162&gt;=12,(MID(Q1163,1,1)&amp;MID(Q1163,2,4)+1),CELL("address",AI1163))</f>
        <v>$AI$1163</v>
      </c>
    </row>
    <row r="1164" spans="1:15" ht="15" customHeight="1">
      <c r="A1164" s="328"/>
      <c r="B1164" s="328"/>
      <c r="C1164" s="327"/>
      <c r="D1164" s="45" t="s">
        <v>31</v>
      </c>
      <c r="E1164" s="68">
        <v>0.011</v>
      </c>
      <c r="F1164" s="98">
        <v>0.011</v>
      </c>
      <c r="G1164" s="102" t="str">
        <f>CONCATENATE(D1164," - ",E1164,", ")</f>
        <v>Misc. Alumn. Scrap - 0.011, </v>
      </c>
      <c r="H1164" s="426"/>
      <c r="I1164" s="98" t="e">
        <f ca="1">IF(G1163&gt;=6,(MID(H1164,1,1)&amp;MID(H1164,2,4)+1),CELL("address",Z1164))</f>
        <v>#VALUE!</v>
      </c>
      <c r="J1164" s="98" t="e">
        <f ca="1">IF(G1163&gt;=7,(MID(I1164,1,1)&amp;MID(I1164,2,4)+1),CELL("address",AA1164))</f>
        <v>#VALUE!</v>
      </c>
      <c r="K1164" s="98" t="e">
        <f ca="1">IF(G1163&gt;=8,(MID(J1164,1,1)&amp;MID(J1164,2,4)+1),CELL("address",AB1164))</f>
        <v>#VALUE!</v>
      </c>
      <c r="L1164" s="98" t="e">
        <f ca="1">IF(G1163&gt;=9,(MID(K1164,1,1)&amp;MID(K1164,2,4)+1),CELL("address",AC1164))</f>
        <v>#VALUE!</v>
      </c>
      <c r="M1164" s="98" t="e">
        <f ca="1">IF(G1163&gt;=10,(MID(L1164,1,1)&amp;MID(L1164,2,4)+1),CELL("address",AD1164))</f>
        <v>#VALUE!</v>
      </c>
      <c r="N1164" s="98" t="e">
        <f ca="1">IF(G1163&gt;=11,(MID(M1164,1,1)&amp;MID(M1164,2,4)+1),CELL("address",AE1164))</f>
        <v>#VALUE!</v>
      </c>
      <c r="O1164" s="98" t="e">
        <f ca="1">IF(G1163&gt;=12,(MID(N1164,1,1)&amp;MID(N1164,2,4)+1),CELL("address",AF1164))</f>
        <v>#VALUE!</v>
      </c>
    </row>
    <row r="1165" spans="1:8" ht="15" customHeight="1">
      <c r="A1165" s="328"/>
      <c r="B1165" s="328"/>
      <c r="C1165" s="327"/>
      <c r="D1165" s="289" t="s">
        <v>27</v>
      </c>
      <c r="E1165" s="297">
        <v>0.066</v>
      </c>
      <c r="F1165" s="1">
        <v>0.011</v>
      </c>
      <c r="G1165" s="102" t="str">
        <f>CONCATENATE(D1165," - ",E1165,", ")</f>
        <v>Iron scrap - 0.066, </v>
      </c>
      <c r="H1165" s="1"/>
    </row>
    <row r="1166" spans="1:8" ht="15" customHeight="1">
      <c r="A1166" s="328"/>
      <c r="B1166" s="328"/>
      <c r="C1166" s="327"/>
      <c r="D1166" s="289" t="s">
        <v>37</v>
      </c>
      <c r="E1166" s="307">
        <v>0.014</v>
      </c>
      <c r="F1166" s="1">
        <v>0.008</v>
      </c>
      <c r="G1166" s="102" t="str">
        <f>CONCATENATE(D1166," - ",E1166,", ")</f>
        <v>Burnt Cu scrap - 0.014, </v>
      </c>
      <c r="H1166" s="1"/>
    </row>
    <row r="1167" spans="1:8" ht="15" customHeight="1">
      <c r="A1167" s="35"/>
      <c r="B1167" s="1"/>
      <c r="C1167" s="1"/>
      <c r="D1167" s="1"/>
      <c r="E1167" s="1"/>
      <c r="H1167" s="1"/>
    </row>
    <row r="1168" spans="1:8" ht="15" customHeight="1">
      <c r="A1168" s="335"/>
      <c r="B1168" s="336"/>
      <c r="C1168" s="66"/>
      <c r="D1168" s="66"/>
      <c r="E1168" s="119">
        <f>SUM(E1170:E1174)</f>
        <v>5.351000000000001</v>
      </c>
      <c r="H1168" s="1"/>
    </row>
    <row r="1169" spans="1:18" ht="15" customHeight="1">
      <c r="A1169" s="329" t="s">
        <v>5</v>
      </c>
      <c r="B1169" s="329"/>
      <c r="C1169" s="64" t="s">
        <v>17</v>
      </c>
      <c r="D1169" s="65" t="s">
        <v>18</v>
      </c>
      <c r="E1169" s="68" t="s">
        <v>7</v>
      </c>
      <c r="G1169" s="170" t="str">
        <f>CONCATENATE("Misc. Healthy parts/ Non Ferrous  Scrap, Lying at ",C1170,". Quantity in MT - ")</f>
        <v>Misc. Healthy parts/ Non Ferrous  Scrap, Lying at TRY Sangrur. Quantity in MT - </v>
      </c>
      <c r="H1169" s="427" t="str">
        <f ca="1">CONCATENATE(G1169,G1170,(INDIRECT(I1170)),(INDIRECT(J1170)),(INDIRECT(K1170)),(INDIRECT(L1170)),(INDIRECT(M1170)),(INDIRECT(N1170)),(INDIRECT(O1170)),(INDIRECT(P1170)),(INDIRECT(Q1170)),(INDIRECT(R1170)),".")</f>
        <v>Misc. Healthy parts/ Non Ferrous  Scrap, Lying at TRY Sangrur. Quantity in MT - Brass scrap - 3.153, Misc. Alumn. Scrap - 0.2, Burnt Cu scrap - 0.084, Iron scrap - 0.272, Nuts &amp; Bolts scrap - 1.642, .</v>
      </c>
      <c r="I1169" s="98" t="str">
        <f aca="true" ca="1" t="array" ref="I1169">CELL("address",INDEX(G1169:G1194,MATCH(TRUE,ISBLANK(G1169:G1194),0)))</f>
        <v>$G$1175</v>
      </c>
      <c r="J1169" s="98">
        <f aca="true" t="array" ref="J1169">MATCH(TRUE,ISBLANK(G1169:G1194),0)</f>
        <v>7</v>
      </c>
      <c r="K1169" s="98">
        <f>J1169-3</f>
        <v>4</v>
      </c>
      <c r="L1169" s="98"/>
      <c r="M1169" s="98"/>
      <c r="N1169" s="98"/>
      <c r="O1169" s="98"/>
      <c r="P1169" s="98"/>
      <c r="Q1169" s="98"/>
      <c r="R1169" s="98"/>
    </row>
    <row r="1170" spans="1:18" ht="15" customHeight="1">
      <c r="A1170" s="328" t="s">
        <v>270</v>
      </c>
      <c r="B1170" s="328"/>
      <c r="C1170" s="327" t="s">
        <v>135</v>
      </c>
      <c r="D1170" s="34" t="s">
        <v>23</v>
      </c>
      <c r="E1170" s="308">
        <v>3.153</v>
      </c>
      <c r="F1170" s="1">
        <v>1.56</v>
      </c>
      <c r="G1170" s="102" t="str">
        <f>CONCATENATE(D1170," - ",E1170,", ")</f>
        <v>Brass scrap - 3.153, </v>
      </c>
      <c r="H1170" s="427"/>
      <c r="I1170" s="98" t="str">
        <f ca="1">IF(J1169&gt;=3,(MID(I1169,2,1)&amp;MID(I1169,4,4)-K1169),CELL("address",Z1170))</f>
        <v>G1171</v>
      </c>
      <c r="J1170" s="98" t="str">
        <f ca="1">IF(J1169&gt;=4,(MID(I1170,1,1)&amp;MID(I1170,2,4)+1),CELL("address",AA1170))</f>
        <v>G1172</v>
      </c>
      <c r="K1170" s="98" t="str">
        <f ca="1">IF(J1169&gt;=5,(MID(J1170,1,1)&amp;MID(J1170,2,4)+1),CELL("address",AB1170))</f>
        <v>G1173</v>
      </c>
      <c r="L1170" s="98" t="str">
        <f ca="1">IF(J1169&gt;=6,(MID(K1170,1,1)&amp;MID(K1170,2,4)+1),CELL("address",AC1170))</f>
        <v>G1174</v>
      </c>
      <c r="M1170" s="98" t="str">
        <f ca="1">IF(J1169&gt;=7,(MID(L1170,1,1)&amp;MID(L1170,2,4)+1),CELL("address",AD1170))</f>
        <v>G1175</v>
      </c>
      <c r="N1170" s="98" t="str">
        <f ca="1">IF(J1169&gt;=8,(MID(M1170,1,1)&amp;MID(M1170,2,4)+1),CELL("address",AE1170))</f>
        <v>$AE$1170</v>
      </c>
      <c r="O1170" s="98" t="str">
        <f ca="1">IF(J1169&gt;=9,(MID(N1170,1,1)&amp;MID(N1170,2,4)+1),CELL("address",AF1170))</f>
        <v>$AF$1170</v>
      </c>
      <c r="P1170" s="98" t="str">
        <f ca="1">IF(J1169&gt;=10,(MID(O1170,1,1)&amp;MID(O1170,2,4)+1),CELL("address",AG1170))</f>
        <v>$AG$1170</v>
      </c>
      <c r="Q1170" s="98" t="str">
        <f ca="1">IF(J1169&gt;=11,(MID(P1170,1,1)&amp;MID(P1170,2,4)+1),CELL("address",AH1170))</f>
        <v>$AH$1170</v>
      </c>
      <c r="R1170" s="98" t="str">
        <f ca="1">IF(J1169&gt;=12,(MID(Q1170,1,1)&amp;MID(Q1170,2,4)+1),CELL("address",AI1170))</f>
        <v>$AI$1170</v>
      </c>
    </row>
    <row r="1171" spans="1:15" ht="15" customHeight="1">
      <c r="A1171" s="328"/>
      <c r="B1171" s="328"/>
      <c r="C1171" s="327"/>
      <c r="D1171" s="34" t="s">
        <v>31</v>
      </c>
      <c r="E1171" s="307">
        <v>0.2</v>
      </c>
      <c r="F1171" s="98">
        <v>0.125</v>
      </c>
      <c r="G1171" s="102" t="str">
        <f>CONCATENATE(D1171," - ",E1171,", ")</f>
        <v>Misc. Alumn. Scrap - 0.2, </v>
      </c>
      <c r="H1171" s="426"/>
      <c r="I1171" s="98"/>
      <c r="J1171" s="98"/>
      <c r="K1171" s="98"/>
      <c r="L1171" s="98"/>
      <c r="M1171" s="98"/>
      <c r="N1171" s="98"/>
      <c r="O1171" s="98"/>
    </row>
    <row r="1172" spans="1:15" ht="15" customHeight="1">
      <c r="A1172" s="328"/>
      <c r="B1172" s="328"/>
      <c r="C1172" s="327"/>
      <c r="D1172" s="289" t="s">
        <v>37</v>
      </c>
      <c r="E1172" s="307">
        <v>0.084</v>
      </c>
      <c r="F1172" s="98">
        <v>0.043</v>
      </c>
      <c r="G1172" s="102" t="str">
        <f>CONCATENATE(D1172," - ",E1172,", ")</f>
        <v>Burnt Cu scrap - 0.084, </v>
      </c>
      <c r="H1172" s="426"/>
      <c r="I1172" s="98" t="e">
        <f ca="1">IF(G1171&gt;=6,(MID(H1172,1,1)&amp;MID(H1172,2,4)+1),CELL("address",Z1172))</f>
        <v>#VALUE!</v>
      </c>
      <c r="J1172" s="98" t="e">
        <f ca="1">IF(G1171&gt;=7,(MID(I1172,1,1)&amp;MID(I1172,2,4)+1),CELL("address",AA1172))</f>
        <v>#VALUE!</v>
      </c>
      <c r="K1172" s="98" t="e">
        <f ca="1">IF(G1171&gt;=8,(MID(J1172,1,1)&amp;MID(J1172,2,4)+1),CELL("address",AB1172))</f>
        <v>#VALUE!</v>
      </c>
      <c r="L1172" s="98" t="e">
        <f ca="1">IF(G1171&gt;=9,(MID(K1172,1,1)&amp;MID(K1172,2,4)+1),CELL("address",AC1172))</f>
        <v>#VALUE!</v>
      </c>
      <c r="M1172" s="98" t="e">
        <f ca="1">IF(G1171&gt;=10,(MID(L1172,1,1)&amp;MID(L1172,2,4)+1),CELL("address",AD1172))</f>
        <v>#VALUE!</v>
      </c>
      <c r="N1172" s="98" t="e">
        <f ca="1">IF(G1171&gt;=11,(MID(M1172,1,1)&amp;MID(M1172,2,4)+1),CELL("address",AE1172))</f>
        <v>#VALUE!</v>
      </c>
      <c r="O1172" s="98" t="e">
        <f ca="1">IF(G1171&gt;=12,(MID(N1172,1,1)&amp;MID(N1172,2,4)+1),CELL("address",AF1172))</f>
        <v>#VALUE!</v>
      </c>
    </row>
    <row r="1173" spans="1:8" ht="15" customHeight="1">
      <c r="A1173" s="328"/>
      <c r="B1173" s="328"/>
      <c r="C1173" s="327"/>
      <c r="D1173" s="289" t="s">
        <v>27</v>
      </c>
      <c r="E1173" s="307">
        <v>0.272</v>
      </c>
      <c r="F1173" s="1">
        <v>0.177</v>
      </c>
      <c r="G1173" s="102" t="str">
        <f>CONCATENATE(D1173," - ",E1173,", ")</f>
        <v>Iron scrap - 0.272, </v>
      </c>
      <c r="H1173" s="1"/>
    </row>
    <row r="1174" spans="1:8" ht="15" customHeight="1">
      <c r="A1174" s="328"/>
      <c r="B1174" s="328"/>
      <c r="C1174" s="327"/>
      <c r="D1174" s="289" t="s">
        <v>58</v>
      </c>
      <c r="E1174" s="307">
        <v>1.642</v>
      </c>
      <c r="F1174" s="1">
        <v>1.053</v>
      </c>
      <c r="G1174" s="102" t="str">
        <f>CONCATENATE(D1174," - ",E1174,", ")</f>
        <v>Nuts &amp; Bolts scrap - 1.642, </v>
      </c>
      <c r="H1174" s="1"/>
    </row>
    <row r="1175" spans="1:8" ht="15" customHeight="1">
      <c r="A1175" s="1"/>
      <c r="B1175" s="1"/>
      <c r="C1175" s="1"/>
      <c r="D1175" s="1"/>
      <c r="E1175" s="1"/>
      <c r="H1175" s="1"/>
    </row>
    <row r="1176" spans="1:8" ht="14.25" customHeight="1">
      <c r="A1176" s="335"/>
      <c r="B1176" s="336"/>
      <c r="C1176" s="66"/>
      <c r="D1176" s="66"/>
      <c r="E1176" s="119">
        <f>SUM(E1178:E1179)</f>
        <v>0.649</v>
      </c>
      <c r="H1176" s="1"/>
    </row>
    <row r="1177" spans="1:18" ht="18.75" customHeight="1">
      <c r="A1177" s="329" t="s">
        <v>5</v>
      </c>
      <c r="B1177" s="329"/>
      <c r="C1177" s="64" t="s">
        <v>17</v>
      </c>
      <c r="D1177" s="65" t="s">
        <v>18</v>
      </c>
      <c r="E1177" s="68" t="s">
        <v>7</v>
      </c>
      <c r="G1177" s="170" t="str">
        <f>CONCATENATE("Misc. Healthy parts/ Non Ferrous  Scrap, Lying at ",C1178,". Quantity in MT - ")</f>
        <v>Misc. Healthy parts/ Non Ferrous  Scrap, Lying at TRY Patiala. Quantity in MT - </v>
      </c>
      <c r="H1177" s="427" t="str">
        <f ca="1">CONCATENATE(G1177,G1178,(INDIRECT(I1178)),(INDIRECT(J1178)),(INDIRECT(K1178)),(INDIRECT(L1178)),(INDIRECT(M1178)),(INDIRECT(N1178)),(INDIRECT(O1178)),(INDIRECT(P1178)),(INDIRECT(Q1178)),(INDIRECT(R1178)),".")</f>
        <v>Misc. Healthy parts/ Non Ferrous  Scrap, Lying at TRY Patiala. Quantity in MT - Brass scrap - 0.61, Misc. Alumn. Scrap - 0.039, .</v>
      </c>
      <c r="I1177" s="98" t="str">
        <f aca="true" ca="1" t="array" ref="I1177">CELL("address",INDEX(G1177:G1201,MATCH(TRUE,ISBLANK(G1177:G1201),0)))</f>
        <v>$G$1180</v>
      </c>
      <c r="J1177" s="98">
        <f aca="true" t="array" ref="J1177">MATCH(TRUE,ISBLANK(G1177:G1201),0)</f>
        <v>4</v>
      </c>
      <c r="K1177" s="98">
        <f>J1177-3</f>
        <v>1</v>
      </c>
      <c r="L1177" s="98"/>
      <c r="M1177" s="98"/>
      <c r="N1177" s="98"/>
      <c r="O1177" s="98"/>
      <c r="P1177" s="98"/>
      <c r="Q1177" s="98"/>
      <c r="R1177" s="98"/>
    </row>
    <row r="1178" spans="1:18" ht="18.75" customHeight="1">
      <c r="A1178" s="329" t="s">
        <v>425</v>
      </c>
      <c r="B1178" s="329"/>
      <c r="C1178" s="327" t="s">
        <v>120</v>
      </c>
      <c r="D1178" s="45" t="s">
        <v>23</v>
      </c>
      <c r="E1178" s="120">
        <v>0.61</v>
      </c>
      <c r="G1178" s="102" t="str">
        <f>CONCATENATE(D1178," - ",E1178,", ")</f>
        <v>Brass scrap - 0.61, </v>
      </c>
      <c r="H1178" s="427"/>
      <c r="I1178" s="98" t="str">
        <f ca="1">IF(J1177&gt;=3,(MID(I1177,2,1)&amp;MID(I1177,4,4)-K1177),CELL("address",Z1178))</f>
        <v>G1179</v>
      </c>
      <c r="J1178" s="98" t="str">
        <f ca="1">IF(J1177&gt;=4,(MID(I1178,1,1)&amp;MID(I1178,2,4)+1),CELL("address",AA1178))</f>
        <v>G1180</v>
      </c>
      <c r="K1178" s="98" t="str">
        <f ca="1">IF(J1177&gt;=5,(MID(J1178,1,1)&amp;MID(J1178,2,4)+1),CELL("address",AB1178))</f>
        <v>$AB$1178</v>
      </c>
      <c r="L1178" s="98" t="str">
        <f ca="1">IF(J1177&gt;=6,(MID(K1178,1,1)&amp;MID(K1178,2,4)+1),CELL("address",AC1178))</f>
        <v>$AC$1178</v>
      </c>
      <c r="M1178" s="98" t="str">
        <f ca="1">IF(J1177&gt;=7,(MID(L1178,1,1)&amp;MID(L1178,2,4)+1),CELL("address",AD1178))</f>
        <v>$AD$1178</v>
      </c>
      <c r="N1178" s="98" t="str">
        <f ca="1">IF(J1177&gt;=8,(MID(M1178,1,1)&amp;MID(M1178,2,4)+1),CELL("address",AE1178))</f>
        <v>$AE$1178</v>
      </c>
      <c r="O1178" s="98" t="str">
        <f ca="1">IF(J1177&gt;=9,(MID(N1178,1,1)&amp;MID(N1178,2,4)+1),CELL("address",AF1178))</f>
        <v>$AF$1178</v>
      </c>
      <c r="P1178" s="98" t="str">
        <f ca="1">IF(J1177&gt;=10,(MID(O1178,1,1)&amp;MID(O1178,2,4)+1),CELL("address",AG1178))</f>
        <v>$AG$1178</v>
      </c>
      <c r="Q1178" s="98" t="str">
        <f ca="1">IF(J1177&gt;=11,(MID(P1178,1,1)&amp;MID(P1178,2,4)+1),CELL("address",AH1178))</f>
        <v>$AH$1178</v>
      </c>
      <c r="R1178" s="98" t="str">
        <f ca="1">IF(J1177&gt;=12,(MID(Q1178,1,1)&amp;MID(Q1178,2,4)+1),CELL("address",AI1178))</f>
        <v>$AI$1178</v>
      </c>
    </row>
    <row r="1179" spans="1:8" ht="15.75" customHeight="1">
      <c r="A1179" s="329"/>
      <c r="B1179" s="329"/>
      <c r="C1179" s="327"/>
      <c r="D1179" s="45" t="s">
        <v>31</v>
      </c>
      <c r="E1179" s="68">
        <v>0.039</v>
      </c>
      <c r="G1179" s="102" t="str">
        <f>CONCATENATE(D1179," - ",E1179,", ")</f>
        <v>Misc. Alumn. Scrap - 0.039, </v>
      </c>
      <c r="H1179" s="1"/>
    </row>
    <row r="1180" spans="1:8" ht="14.25" customHeight="1">
      <c r="A1180" s="1"/>
      <c r="B1180" s="1"/>
      <c r="C1180" s="1"/>
      <c r="D1180" s="1"/>
      <c r="E1180" s="1"/>
      <c r="H1180" s="1"/>
    </row>
    <row r="1181" spans="1:8" ht="11.25" customHeight="1">
      <c r="A1181" s="335"/>
      <c r="B1181" s="336"/>
      <c r="C1181" s="66"/>
      <c r="D1181" s="66"/>
      <c r="E1181" s="67">
        <f>SUM(E1183:E1184)</f>
        <v>0.29000000000000004</v>
      </c>
      <c r="H1181" s="1"/>
    </row>
    <row r="1182" spans="1:18" ht="15" customHeight="1">
      <c r="A1182" s="329" t="s">
        <v>5</v>
      </c>
      <c r="B1182" s="329"/>
      <c r="C1182" s="64" t="s">
        <v>17</v>
      </c>
      <c r="D1182" s="65" t="s">
        <v>18</v>
      </c>
      <c r="E1182" s="64" t="s">
        <v>7</v>
      </c>
      <c r="G1182" s="170" t="str">
        <f>CONCATENATE("Misc. Healthy parts/ Non Ferrous  Scrap, Lying at ",C1183,". Quantity in MT - ")</f>
        <v>Misc. Healthy parts/ Non Ferrous  Scrap, Lying at TRY Ropar. Quantity in MT - </v>
      </c>
      <c r="H1182" s="427" t="str">
        <f ca="1">CONCATENATE(G1182,G1183,(INDIRECT(I1183)),(INDIRECT(J1183)),(INDIRECT(K1183)),(INDIRECT(L1183)),(INDIRECT(M1183)),(INDIRECT(N1183)),(INDIRECT(O1183)),(INDIRECT(P1183)),(INDIRECT(Q1183)),(INDIRECT(R1183)),".")</f>
        <v>Misc. Healthy parts/ Non Ferrous  Scrap, Lying at TRY Ropar. Quantity in MT - Misc. Alumn. Scrap - 0.154, Burnt Cu scrap - 0.136, .</v>
      </c>
      <c r="I1182" s="98" t="str">
        <f aca="true" ca="1" t="array" ref="I1182">CELL("address",INDEX(G1182:G1204,MATCH(TRUE,ISBLANK(G1182:G1204),0)))</f>
        <v>$G$1185</v>
      </c>
      <c r="J1182" s="98">
        <f aca="true" t="array" ref="J1182">MATCH(TRUE,ISBLANK(G1182:G1204),0)</f>
        <v>4</v>
      </c>
      <c r="K1182" s="98">
        <f>J1182-3</f>
        <v>1</v>
      </c>
      <c r="L1182" s="98"/>
      <c r="M1182" s="98"/>
      <c r="N1182" s="98"/>
      <c r="O1182" s="98"/>
      <c r="P1182" s="98"/>
      <c r="Q1182" s="98"/>
      <c r="R1182" s="98"/>
    </row>
    <row r="1183" spans="1:18" ht="15" customHeight="1">
      <c r="A1183" s="329" t="s">
        <v>524</v>
      </c>
      <c r="B1183" s="329"/>
      <c r="C1183" s="327" t="s">
        <v>143</v>
      </c>
      <c r="D1183" s="45" t="s">
        <v>31</v>
      </c>
      <c r="E1183" s="45">
        <v>0.154</v>
      </c>
      <c r="G1183" s="102" t="str">
        <f>CONCATENATE(D1183," - ",E1183,", ")</f>
        <v>Misc. Alumn. Scrap - 0.154, </v>
      </c>
      <c r="H1183" s="427"/>
      <c r="I1183" s="98" t="str">
        <f ca="1">IF(J1182&gt;=3,(MID(I1182,2,1)&amp;MID(I1182,4,4)-K1182),CELL("address",Z1183))</f>
        <v>G1184</v>
      </c>
      <c r="J1183" s="98" t="str">
        <f ca="1">IF(J1182&gt;=4,(MID(I1183,1,1)&amp;MID(I1183,2,4)+1),CELL("address",AA1183))</f>
        <v>G1185</v>
      </c>
      <c r="K1183" s="98" t="str">
        <f ca="1">IF(J1182&gt;=5,(MID(J1183,1,1)&amp;MID(J1183,2,4)+1),CELL("address",AB1183))</f>
        <v>$AB$1183</v>
      </c>
      <c r="L1183" s="98" t="str">
        <f ca="1">IF(J1182&gt;=6,(MID(K1183,1,1)&amp;MID(K1183,2,4)+1),CELL("address",AC1183))</f>
        <v>$AC$1183</v>
      </c>
      <c r="M1183" s="98" t="str">
        <f ca="1">IF(J1182&gt;=7,(MID(L1183,1,1)&amp;MID(L1183,2,4)+1),CELL("address",AD1183))</f>
        <v>$AD$1183</v>
      </c>
      <c r="N1183" s="98" t="str">
        <f ca="1">IF(J1182&gt;=8,(MID(M1183,1,1)&amp;MID(M1183,2,4)+1),CELL("address",AE1183))</f>
        <v>$AE$1183</v>
      </c>
      <c r="O1183" s="98" t="str">
        <f ca="1">IF(J1182&gt;=9,(MID(N1183,1,1)&amp;MID(N1183,2,4)+1),CELL("address",AF1183))</f>
        <v>$AF$1183</v>
      </c>
      <c r="P1183" s="98" t="str">
        <f ca="1">IF(J1182&gt;=10,(MID(O1183,1,1)&amp;MID(O1183,2,4)+1),CELL("address",AG1183))</f>
        <v>$AG$1183</v>
      </c>
      <c r="Q1183" s="98" t="str">
        <f ca="1">IF(J1182&gt;=11,(MID(P1183,1,1)&amp;MID(P1183,2,4)+1),CELL("address",AH1183))</f>
        <v>$AH$1183</v>
      </c>
      <c r="R1183" s="98" t="str">
        <f ca="1">IF(J1182&gt;=12,(MID(Q1183,1,1)&amp;MID(Q1183,2,4)+1),CELL("address",AI1183))</f>
        <v>$AI$1183</v>
      </c>
    </row>
    <row r="1184" spans="1:8" ht="15" customHeight="1">
      <c r="A1184" s="329"/>
      <c r="B1184" s="329"/>
      <c r="C1184" s="327"/>
      <c r="D1184" s="40" t="s">
        <v>37</v>
      </c>
      <c r="E1184" s="64">
        <v>0.136</v>
      </c>
      <c r="G1184" s="102" t="str">
        <f>CONCATENATE(D1184," - ",E1184,", ")</f>
        <v>Burnt Cu scrap - 0.136, </v>
      </c>
      <c r="H1184" s="1"/>
    </row>
    <row r="1185" spans="1:8" ht="15" customHeight="1">
      <c r="A1185" s="1"/>
      <c r="B1185" s="1"/>
      <c r="C1185" s="1"/>
      <c r="D1185" s="1"/>
      <c r="E1185" s="1"/>
      <c r="H1185" s="1"/>
    </row>
    <row r="1186" spans="1:8" ht="15" customHeight="1">
      <c r="A1186" s="335"/>
      <c r="B1186" s="336"/>
      <c r="C1186" s="66"/>
      <c r="D1186" s="66"/>
      <c r="E1186" s="119">
        <f>SUM(E1188:E1190)</f>
        <v>0.277</v>
      </c>
      <c r="H1186" s="1"/>
    </row>
    <row r="1187" spans="1:18" ht="15" customHeight="1">
      <c r="A1187" s="329" t="s">
        <v>5</v>
      </c>
      <c r="B1187" s="329"/>
      <c r="C1187" s="64" t="s">
        <v>17</v>
      </c>
      <c r="D1187" s="65" t="s">
        <v>18</v>
      </c>
      <c r="E1187" s="68" t="s">
        <v>7</v>
      </c>
      <c r="G1187" s="170" t="str">
        <f>CONCATENATE("Misc. Healthy parts/ Non Ferrous  Scrap, Lying at ",C1188,". Quantity in MT - ")</f>
        <v>Misc. Healthy parts/ Non Ferrous  Scrap, Lying at TRY Kotkapura. Quantity in MT - </v>
      </c>
      <c r="H1187" s="427" t="str">
        <f ca="1">CONCATENATE(G1187,G1188,(INDIRECT(I1188)),(INDIRECT(J1188)),(INDIRECT(K1188)),(INDIRECT(L1188)),(INDIRECT(M1188)),(INDIRECT(N1188)),(INDIRECT(O1188)),(INDIRECT(P1188)),(INDIRECT(Q1188)),(INDIRECT(R1188)),".")</f>
        <v>Misc. Healthy parts/ Non Ferrous  Scrap, Lying at TRY Kotkapura. Quantity in MT - Misc. Alumn. Scrap - 0.055, Iron scrap - 0.058, Brass scrap - 0.164, .</v>
      </c>
      <c r="I1187" s="98" t="str">
        <f aca="true" ca="1" t="array" ref="I1187">CELL("address",INDEX(G1187:G1209,MATCH(TRUE,ISBLANK(G1187:G1209),0)))</f>
        <v>$G$1191</v>
      </c>
      <c r="J1187" s="98">
        <f aca="true" t="array" ref="J1187">MATCH(TRUE,ISBLANK(G1187:G1209),0)</f>
        <v>5</v>
      </c>
      <c r="K1187" s="98">
        <f>J1187-3</f>
        <v>2</v>
      </c>
      <c r="L1187" s="98"/>
      <c r="M1187" s="98"/>
      <c r="N1187" s="98"/>
      <c r="O1187" s="98"/>
      <c r="P1187" s="98"/>
      <c r="Q1187" s="98"/>
      <c r="R1187" s="98"/>
    </row>
    <row r="1188" spans="1:18" ht="15" customHeight="1">
      <c r="A1188" s="329" t="s">
        <v>599</v>
      </c>
      <c r="B1188" s="329"/>
      <c r="C1188" s="327" t="s">
        <v>247</v>
      </c>
      <c r="D1188" s="34" t="s">
        <v>31</v>
      </c>
      <c r="E1188" s="297">
        <v>0.055</v>
      </c>
      <c r="F1188" s="1">
        <v>0.044</v>
      </c>
      <c r="G1188" s="102" t="str">
        <f>CONCATENATE(D1188," - ",E1188,", ")</f>
        <v>Misc. Alumn. Scrap - 0.055, </v>
      </c>
      <c r="H1188" s="427"/>
      <c r="I1188" s="98" t="str">
        <f ca="1">IF(J1187&gt;=3,(MID(I1187,2,1)&amp;MID(I1187,4,4)-K1187),CELL("address",Z1188))</f>
        <v>G1189</v>
      </c>
      <c r="J1188" s="98" t="str">
        <f ca="1">IF(J1187&gt;=4,(MID(I1188,1,1)&amp;MID(I1188,2,4)+1),CELL("address",AA1188))</f>
        <v>G1190</v>
      </c>
      <c r="K1188" s="98" t="str">
        <f ca="1">IF(J1187&gt;=5,(MID(J1188,1,1)&amp;MID(J1188,2,4)+1),CELL("address",AB1188))</f>
        <v>G1191</v>
      </c>
      <c r="L1188" s="98" t="str">
        <f ca="1">IF(J1187&gt;=6,(MID(K1188,1,1)&amp;MID(K1188,2,4)+1),CELL("address",AC1188))</f>
        <v>$AC$1188</v>
      </c>
      <c r="M1188" s="98" t="str">
        <f ca="1">IF(J1187&gt;=7,(MID(L1188,1,1)&amp;MID(L1188,2,4)+1),CELL("address",AD1188))</f>
        <v>$AD$1188</v>
      </c>
      <c r="N1188" s="98" t="str">
        <f ca="1">IF(J1187&gt;=8,(MID(M1188,1,1)&amp;MID(M1188,2,4)+1),CELL("address",AE1188))</f>
        <v>$AE$1188</v>
      </c>
      <c r="O1188" s="98" t="str">
        <f ca="1">IF(J1187&gt;=9,(MID(N1188,1,1)&amp;MID(N1188,2,4)+1),CELL("address",AF1188))</f>
        <v>$AF$1188</v>
      </c>
      <c r="P1188" s="98" t="str">
        <f ca="1">IF(J1187&gt;=10,(MID(O1188,1,1)&amp;MID(O1188,2,4)+1),CELL("address",AG1188))</f>
        <v>$AG$1188</v>
      </c>
      <c r="Q1188" s="98" t="str">
        <f ca="1">IF(J1187&gt;=11,(MID(P1188,1,1)&amp;MID(P1188,2,4)+1),CELL("address",AH1188))</f>
        <v>$AH$1188</v>
      </c>
      <c r="R1188" s="98" t="str">
        <f ca="1">IF(J1187&gt;=12,(MID(Q1188,1,1)&amp;MID(Q1188,2,4)+1),CELL("address",AI1188))</f>
        <v>$AI$1188</v>
      </c>
    </row>
    <row r="1189" spans="1:8" ht="15" customHeight="1">
      <c r="A1189" s="329"/>
      <c r="B1189" s="329"/>
      <c r="C1189" s="327"/>
      <c r="D1189" s="279" t="s">
        <v>27</v>
      </c>
      <c r="E1189" s="297">
        <v>0.058</v>
      </c>
      <c r="F1189" s="1">
        <v>0.046</v>
      </c>
      <c r="G1189" s="102" t="str">
        <f>CONCATENATE(D1189," - ",E1189,", ")</f>
        <v>Iron scrap - 0.058, </v>
      </c>
      <c r="H1189" s="1"/>
    </row>
    <row r="1190" spans="1:8" ht="15" customHeight="1">
      <c r="A1190" s="329"/>
      <c r="B1190" s="329"/>
      <c r="C1190" s="327"/>
      <c r="D1190" s="34" t="s">
        <v>23</v>
      </c>
      <c r="E1190" s="296">
        <v>0.164</v>
      </c>
      <c r="F1190" s="1" t="s">
        <v>681</v>
      </c>
      <c r="G1190" s="102" t="str">
        <f>CONCATENATE(D1190," - ",E1190,", ")</f>
        <v>Brass scrap - 0.164, </v>
      </c>
      <c r="H1190" s="1"/>
    </row>
    <row r="1191" spans="1:8" ht="13.5" customHeight="1">
      <c r="A1191" s="1"/>
      <c r="B1191" s="1"/>
      <c r="C1191" s="1"/>
      <c r="D1191" s="1"/>
      <c r="E1191" s="1"/>
      <c r="H1191" s="1"/>
    </row>
    <row r="1192" spans="1:8" ht="13.5" customHeight="1">
      <c r="A1192" s="335"/>
      <c r="B1192" s="336"/>
      <c r="C1192" s="66"/>
      <c r="D1192" s="66"/>
      <c r="E1192" s="119">
        <f>SUM(E1194:E1195)</f>
        <v>0.007</v>
      </c>
      <c r="H1192" s="1"/>
    </row>
    <row r="1193" spans="1:18" ht="15" customHeight="1">
      <c r="A1193" s="329" t="s">
        <v>5</v>
      </c>
      <c r="B1193" s="329"/>
      <c r="C1193" s="64" t="s">
        <v>17</v>
      </c>
      <c r="D1193" s="65" t="s">
        <v>18</v>
      </c>
      <c r="E1193" s="68" t="s">
        <v>7</v>
      </c>
      <c r="G1193" s="170" t="str">
        <f>CONCATENATE("Misc. Healthy parts/ Non Ferrous  Scrap, Lying at ",C1194,". Quantity in MT - ")</f>
        <v>Misc. Healthy parts/ Non Ferrous  Scrap, Lying at TRY Moga. Quantity in MT - </v>
      </c>
      <c r="H1193" s="427" t="str">
        <f ca="1">CONCATENATE(G1193,G1194,(INDIRECT(I1194)),(INDIRECT(J1194)),(INDIRECT(K1194)),(INDIRECT(L1194)),(INDIRECT(M1194)),(INDIRECT(N1194)),(INDIRECT(O1194)),(INDIRECT(P1194)),(INDIRECT(Q1194)),(INDIRECT(R1194)),".")</f>
        <v>Misc. Healthy parts/ Non Ferrous  Scrap, Lying at TRY Moga. Quantity in MT - Misc. Alumn. Scrap - 0.004, Iron scrap - 0.003, .</v>
      </c>
      <c r="I1193" s="98" t="str">
        <f aca="true" ca="1" t="array" ref="I1193">CELL("address",INDEX(G1193:G1214,MATCH(TRUE,ISBLANK(G1193:G1214),0)))</f>
        <v>$G$1196</v>
      </c>
      <c r="J1193" s="98">
        <f aca="true" t="array" ref="J1193">MATCH(TRUE,ISBLANK(G1193:G1214),0)</f>
        <v>4</v>
      </c>
      <c r="K1193" s="98">
        <f>J1193-3</f>
        <v>1</v>
      </c>
      <c r="L1193" s="98"/>
      <c r="M1193" s="98"/>
      <c r="N1193" s="98"/>
      <c r="O1193" s="98"/>
      <c r="P1193" s="98"/>
      <c r="Q1193" s="98"/>
      <c r="R1193" s="98"/>
    </row>
    <row r="1194" spans="1:18" ht="15" customHeight="1">
      <c r="A1194" s="329" t="s">
        <v>600</v>
      </c>
      <c r="B1194" s="329"/>
      <c r="C1194" s="327" t="s">
        <v>222</v>
      </c>
      <c r="D1194" s="45" t="s">
        <v>31</v>
      </c>
      <c r="E1194" s="120">
        <v>0.004</v>
      </c>
      <c r="G1194" s="102" t="str">
        <f>CONCATENATE(D1194," - ",E1194,", ")</f>
        <v>Misc. Alumn. Scrap - 0.004, </v>
      </c>
      <c r="H1194" s="427"/>
      <c r="I1194" s="98" t="str">
        <f ca="1">IF(J1193&gt;=3,(MID(I1193,2,1)&amp;MID(I1193,4,4)-K1193),CELL("address",Z1194))</f>
        <v>G1195</v>
      </c>
      <c r="J1194" s="98" t="str">
        <f ca="1">IF(J1193&gt;=4,(MID(I1194,1,1)&amp;MID(I1194,2,4)+1),CELL("address",AA1194))</f>
        <v>G1196</v>
      </c>
      <c r="K1194" s="98" t="str">
        <f ca="1">IF(J1193&gt;=5,(MID(J1194,1,1)&amp;MID(J1194,2,4)+1),CELL("address",AB1194))</f>
        <v>$AB$1194</v>
      </c>
      <c r="L1194" s="98" t="str">
        <f ca="1">IF(J1193&gt;=6,(MID(K1194,1,1)&amp;MID(K1194,2,4)+1),CELL("address",AC1194))</f>
        <v>$AC$1194</v>
      </c>
      <c r="M1194" s="98" t="str">
        <f ca="1">IF(J1193&gt;=7,(MID(L1194,1,1)&amp;MID(L1194,2,4)+1),CELL("address",AD1194))</f>
        <v>$AD$1194</v>
      </c>
      <c r="N1194" s="98" t="str">
        <f ca="1">IF(J1193&gt;=8,(MID(M1194,1,1)&amp;MID(M1194,2,4)+1),CELL("address",AE1194))</f>
        <v>$AE$1194</v>
      </c>
      <c r="O1194" s="98" t="str">
        <f ca="1">IF(J1193&gt;=9,(MID(N1194,1,1)&amp;MID(N1194,2,4)+1),CELL("address",AF1194))</f>
        <v>$AF$1194</v>
      </c>
      <c r="P1194" s="98" t="str">
        <f ca="1">IF(J1193&gt;=10,(MID(O1194,1,1)&amp;MID(O1194,2,4)+1),CELL("address",AG1194))</f>
        <v>$AG$1194</v>
      </c>
      <c r="Q1194" s="98" t="str">
        <f ca="1">IF(J1193&gt;=11,(MID(P1194,1,1)&amp;MID(P1194,2,4)+1),CELL("address",AH1194))</f>
        <v>$AH$1194</v>
      </c>
      <c r="R1194" s="98" t="str">
        <f ca="1">IF(J1193&gt;=12,(MID(Q1194,1,1)&amp;MID(Q1194,2,4)+1),CELL("address",AI1194))</f>
        <v>$AI$1194</v>
      </c>
    </row>
    <row r="1195" spans="1:8" ht="15" customHeight="1">
      <c r="A1195" s="329"/>
      <c r="B1195" s="329"/>
      <c r="C1195" s="327"/>
      <c r="D1195" s="40" t="s">
        <v>27</v>
      </c>
      <c r="E1195" s="68">
        <v>0.003</v>
      </c>
      <c r="G1195" s="102" t="str">
        <f>CONCATENATE(D1195," - ",E1195,", ")</f>
        <v>Iron scrap - 0.003, </v>
      </c>
      <c r="H1195" s="1"/>
    </row>
    <row r="1196" spans="1:8" ht="15" customHeight="1">
      <c r="A1196" s="1"/>
      <c r="B1196" s="1"/>
      <c r="C1196" s="1"/>
      <c r="D1196" s="1"/>
      <c r="E1196" s="1"/>
      <c r="H1196" s="1"/>
    </row>
    <row r="1197" spans="1:8" ht="15" customHeight="1">
      <c r="A1197" s="335"/>
      <c r="B1197" s="336"/>
      <c r="C1197" s="66"/>
      <c r="D1197" s="66"/>
      <c r="E1197" s="119">
        <f>SUM(E1199:E1200)</f>
        <v>0.099</v>
      </c>
      <c r="H1197" s="1"/>
    </row>
    <row r="1198" spans="1:18" ht="15" customHeight="1">
      <c r="A1198" s="329" t="s">
        <v>5</v>
      </c>
      <c r="B1198" s="329"/>
      <c r="C1198" s="64" t="s">
        <v>17</v>
      </c>
      <c r="D1198" s="65" t="s">
        <v>18</v>
      </c>
      <c r="E1198" s="68" t="s">
        <v>7</v>
      </c>
      <c r="G1198" s="170" t="str">
        <f>CONCATENATE("Misc. Healthy parts/ Non Ferrous  Scrap, Lying at ",C1199,". Quantity in MT - ")</f>
        <v>Misc. Healthy parts/ Non Ferrous  Scrap, Lying at OL Nabha. Quantity in MT - </v>
      </c>
      <c r="H1198" s="427" t="str">
        <f ca="1">CONCATENATE(G1198,G1199,(INDIRECT(I1199)),(INDIRECT(J1199)),(INDIRECT(K1199)),(INDIRECT(L1199)),(INDIRECT(M1199)),(INDIRECT(N1199)),(INDIRECT(O1199)),(INDIRECT(P1199)),(INDIRECT(Q1199)),(INDIRECT(R1199)),".")</f>
        <v>Misc. Healthy parts/ Non Ferrous  Scrap, Lying at OL Nabha. Quantity in MT - Misc. Alumn. Scrap - 0.007, Misc. copper scrap - 0.092, .</v>
      </c>
      <c r="I1198" s="98" t="str">
        <f aca="true" ca="1" t="array" ref="I1198">CELL("address",INDEX(G1198:G1214,MATCH(TRUE,ISBLANK(G1198:G1214),0)))</f>
        <v>$G$1201</v>
      </c>
      <c r="J1198" s="98">
        <f aca="true" t="array" ref="J1198">MATCH(TRUE,ISBLANK(G1198:G1214),0)</f>
        <v>4</v>
      </c>
      <c r="K1198" s="98">
        <f>J1198-3</f>
        <v>1</v>
      </c>
      <c r="L1198" s="98"/>
      <c r="M1198" s="98"/>
      <c r="N1198" s="98"/>
      <c r="O1198" s="98"/>
      <c r="P1198" s="98"/>
      <c r="Q1198" s="98"/>
      <c r="R1198" s="98"/>
    </row>
    <row r="1199" spans="1:18" ht="15" customHeight="1">
      <c r="A1199" s="328" t="s">
        <v>601</v>
      </c>
      <c r="B1199" s="328"/>
      <c r="C1199" s="327" t="s">
        <v>104</v>
      </c>
      <c r="D1199" s="45" t="s">
        <v>31</v>
      </c>
      <c r="E1199" s="120">
        <v>0.007</v>
      </c>
      <c r="G1199" s="102" t="str">
        <f>CONCATENATE(D1199," - ",E1199,", ")</f>
        <v>Misc. Alumn. Scrap - 0.007, </v>
      </c>
      <c r="H1199" s="427"/>
      <c r="I1199" s="98" t="str">
        <f ca="1">IF(J1198&gt;=3,(MID(I1198,2,1)&amp;MID(I1198,4,4)-K1198),CELL("address",Z1199))</f>
        <v>G1200</v>
      </c>
      <c r="J1199" s="98" t="str">
        <f ca="1">IF(J1198&gt;=4,(MID(I1199,1,1)&amp;MID(I1199,2,4)+1),CELL("address",AA1199))</f>
        <v>G1201</v>
      </c>
      <c r="K1199" s="98" t="str">
        <f ca="1">IF(J1198&gt;=5,(MID(J1199,1,1)&amp;MID(J1199,2,4)+1),CELL("address",AB1199))</f>
        <v>$AB$1199</v>
      </c>
      <c r="L1199" s="98" t="str">
        <f ca="1">IF(J1198&gt;=6,(MID(K1199,1,1)&amp;MID(K1199,2,4)+1),CELL("address",AC1199))</f>
        <v>$AC$1199</v>
      </c>
      <c r="M1199" s="98" t="str">
        <f ca="1">IF(J1198&gt;=7,(MID(L1199,1,1)&amp;MID(L1199,2,4)+1),CELL("address",AD1199))</f>
        <v>$AD$1199</v>
      </c>
      <c r="N1199" s="98" t="str">
        <f ca="1">IF(J1198&gt;=8,(MID(M1199,1,1)&amp;MID(M1199,2,4)+1),CELL("address",AE1199))</f>
        <v>$AE$1199</v>
      </c>
      <c r="O1199" s="98" t="str">
        <f ca="1">IF(J1198&gt;=9,(MID(N1199,1,1)&amp;MID(N1199,2,4)+1),CELL("address",AF1199))</f>
        <v>$AF$1199</v>
      </c>
      <c r="P1199" s="98" t="str">
        <f ca="1">IF(J1198&gt;=10,(MID(O1199,1,1)&amp;MID(O1199,2,4)+1),CELL("address",AG1199))</f>
        <v>$AG$1199</v>
      </c>
      <c r="Q1199" s="98" t="str">
        <f ca="1">IF(J1198&gt;=11,(MID(P1199,1,1)&amp;MID(P1199,2,4)+1),CELL("address",AH1199))</f>
        <v>$AH$1199</v>
      </c>
      <c r="R1199" s="98" t="str">
        <f ca="1">IF(J1198&gt;=12,(MID(Q1199,1,1)&amp;MID(Q1199,2,4)+1),CELL("address",AI1199))</f>
        <v>$AI$1199</v>
      </c>
    </row>
    <row r="1200" spans="1:8" ht="15" customHeight="1">
      <c r="A1200" s="328"/>
      <c r="B1200" s="328"/>
      <c r="C1200" s="327"/>
      <c r="D1200" s="60" t="s">
        <v>111</v>
      </c>
      <c r="E1200" s="68">
        <v>0.092</v>
      </c>
      <c r="G1200" s="102" t="str">
        <f>CONCATENATE(D1200," - ",E1200,", ")</f>
        <v>Misc. copper scrap - 0.092, </v>
      </c>
      <c r="H1200" s="1"/>
    </row>
    <row r="1201" spans="1:8" ht="15" customHeight="1">
      <c r="A1201" s="1"/>
      <c r="B1201" s="1"/>
      <c r="C1201" s="1"/>
      <c r="D1201" s="1"/>
      <c r="E1201" s="1"/>
      <c r="H1201" s="1"/>
    </row>
    <row r="1202" spans="1:8" ht="15" customHeight="1">
      <c r="A1202" s="335"/>
      <c r="B1202" s="336"/>
      <c r="C1202" s="66"/>
      <c r="D1202" s="66"/>
      <c r="E1202" s="67">
        <f>SUM(E1204:E1204)</f>
        <v>2</v>
      </c>
      <c r="H1202" s="1"/>
    </row>
    <row r="1203" spans="1:18" ht="15" customHeight="1">
      <c r="A1203" s="329" t="s">
        <v>5</v>
      </c>
      <c r="B1203" s="329"/>
      <c r="C1203" s="64" t="s">
        <v>17</v>
      </c>
      <c r="D1203" s="65" t="s">
        <v>18</v>
      </c>
      <c r="E1203" s="64" t="s">
        <v>7</v>
      </c>
      <c r="G1203" s="170" t="str">
        <f>CONCATENATE("Misc. Healthy parts/ Non Ferrous  Scrap, Lying at ",C1204,". Quantity in MT - ")</f>
        <v>Misc. Healthy parts/ Non Ferrous  Scrap, Lying at TRY Malerkotla. Quantity in MT - </v>
      </c>
      <c r="H1203" s="427" t="str">
        <f ca="1">CONCATENATE(G1203,G1204,(INDIRECT(I1204)),(INDIRECT(J1204)),(INDIRECT(K1204)),(INDIRECT(L1204)),(INDIRECT(M1204)),(INDIRECT(N1204)),(INDIRECT(O1204)),(INDIRECT(P1204)),(INDIRECT(Q1204)),(INDIRECT(R1204)),".")</f>
        <v>Misc. Healthy parts/ Non Ferrous  Scrap, Lying at TRY Malerkotla. Quantity in MT - Brass scrap - 2, .</v>
      </c>
      <c r="I1203" s="98" t="str">
        <f aca="true" ca="1" t="array" ref="I1203">CELL("address",INDEX(G1203:G1219,MATCH(TRUE,ISBLANK(G1203:G1219),0)))</f>
        <v>$G$1205</v>
      </c>
      <c r="J1203" s="98">
        <f aca="true" t="array" ref="J1203">MATCH(TRUE,ISBLANK(G1203:G1219),0)</f>
        <v>3</v>
      </c>
      <c r="K1203" s="98">
        <f>J1203-3</f>
        <v>0</v>
      </c>
      <c r="L1203" s="98"/>
      <c r="M1203" s="98"/>
      <c r="N1203" s="98"/>
      <c r="O1203" s="98"/>
      <c r="P1203" s="98"/>
      <c r="Q1203" s="98"/>
      <c r="R1203" s="98"/>
    </row>
    <row r="1204" spans="1:24" ht="15" customHeight="1">
      <c r="A1204" s="328" t="s">
        <v>605</v>
      </c>
      <c r="B1204" s="328"/>
      <c r="C1204" s="212" t="s">
        <v>28</v>
      </c>
      <c r="D1204" s="45" t="s">
        <v>23</v>
      </c>
      <c r="E1204" s="47">
        <v>2</v>
      </c>
      <c r="G1204" s="102" t="str">
        <f>CONCATENATE(D1204," - ",E1204,", ")</f>
        <v>Brass scrap - 2, </v>
      </c>
      <c r="H1204" s="427"/>
      <c r="I1204" s="98" t="str">
        <f ca="1">IF(J1203&gt;=3,(MID(I1203,2,1)&amp;MID(I1203,4,4)-K1203),CELL("address",Z1204))</f>
        <v>G1205</v>
      </c>
      <c r="J1204" s="98" t="str">
        <f ca="1">IF(J1203&gt;=4,(MID(I1204,1,1)&amp;MID(I1204,2,4)+1),CELL("address",AA1204))</f>
        <v>$AA$1204</v>
      </c>
      <c r="K1204" s="98" t="str">
        <f ca="1">IF(J1203&gt;=5,(MID(J1204,1,1)&amp;MID(J1204,2,4)+1),CELL("address",AB1204))</f>
        <v>$AB$1204</v>
      </c>
      <c r="L1204" s="98" t="str">
        <f ca="1">IF(J1203&gt;=6,(MID(K1204,1,1)&amp;MID(K1204,2,4)+1),CELL("address",AC1204))</f>
        <v>$AC$1204</v>
      </c>
      <c r="M1204" s="98" t="str">
        <f ca="1">IF(J1203&gt;=7,(MID(L1204,1,1)&amp;MID(L1204,2,4)+1),CELL("address",AD1204))</f>
        <v>$AD$1204</v>
      </c>
      <c r="N1204" s="98" t="str">
        <f ca="1">IF(J1203&gt;=8,(MID(M1204,1,1)&amp;MID(M1204,2,4)+1),CELL("address",AE1204))</f>
        <v>$AE$1204</v>
      </c>
      <c r="O1204" s="98" t="str">
        <f ca="1">IF(J1203&gt;=9,(MID(N1204,1,1)&amp;MID(N1204,2,4)+1),CELL("address",AF1204))</f>
        <v>$AF$1204</v>
      </c>
      <c r="P1204" s="98" t="str">
        <f ca="1">IF(J1203&gt;=10,(MID(O1204,1,1)&amp;MID(O1204,2,4)+1),CELL("address",AG1204))</f>
        <v>$AG$1204</v>
      </c>
      <c r="Q1204" s="98" t="str">
        <f ca="1">IF(J1203&gt;=11,(MID(P1204,1,1)&amp;MID(P1204,2,4)+1),CELL("address",AH1204))</f>
        <v>$AH$1204</v>
      </c>
      <c r="R1204" s="98" t="str">
        <f ca="1">IF(J1203&gt;=12,(MID(Q1204,1,1)&amp;MID(Q1204,2,4)+1),CELL("address",AI1204))</f>
        <v>$AI$1204</v>
      </c>
      <c r="T1204" s="362" t="s">
        <v>606</v>
      </c>
      <c r="U1204" s="362"/>
      <c r="V1204" s="362"/>
      <c r="W1204" s="362"/>
      <c r="X1204" s="362"/>
    </row>
    <row r="1205" spans="1:8" ht="15" customHeight="1">
      <c r="A1205" s="1"/>
      <c r="B1205" s="1"/>
      <c r="C1205" s="1"/>
      <c r="D1205" s="1"/>
      <c r="E1205" s="1"/>
      <c r="H1205" s="1"/>
    </row>
    <row r="1206" spans="1:8" ht="15" customHeight="1">
      <c r="A1206" s="335"/>
      <c r="B1206" s="336"/>
      <c r="C1206" s="66"/>
      <c r="D1206" s="66"/>
      <c r="E1206" s="67">
        <f>SUM(E1208:E1210)</f>
        <v>2.169</v>
      </c>
      <c r="H1206" s="1"/>
    </row>
    <row r="1207" spans="1:18" ht="15" customHeight="1">
      <c r="A1207" s="329" t="s">
        <v>5</v>
      </c>
      <c r="B1207" s="329"/>
      <c r="C1207" s="64" t="s">
        <v>17</v>
      </c>
      <c r="D1207" s="65" t="s">
        <v>18</v>
      </c>
      <c r="E1207" s="64" t="s">
        <v>7</v>
      </c>
      <c r="G1207" s="170" t="str">
        <f>CONCATENATE("Misc. Healthy parts/ Non Ferrous  Scrap, Lying at ",C1208,". Quantity in MT - ")</f>
        <v>Misc. Healthy parts/ Non Ferrous  Scrap, Lying at TRY Malout. Quantity in MT - </v>
      </c>
      <c r="H1207" s="427" t="str">
        <f ca="1">CONCATENATE(G1207,G1208,(INDIRECT(I1208)),(INDIRECT(J1208)),(INDIRECT(K1208)),(INDIRECT(L1208)),(INDIRECT(M1208)),(INDIRECT(N1208)),(INDIRECT(O1208)),(INDIRECT(P1208)),(INDIRECT(Q1208)),(INDIRECT(R1208)),".")</f>
        <v>Misc. Healthy parts/ Non Ferrous  Scrap, Lying at TRY Malout. Quantity in MT - Brass scrap - 1.939, Misc. Alumn. Scrap - 0.205, Iron scrap - 0.025, .</v>
      </c>
      <c r="I1207" s="98" t="str">
        <f aca="true" ca="1" t="array" ref="I1207">CELL("address",INDEX(G1207:G1222,MATCH(TRUE,ISBLANK(G1207:G1222),0)))</f>
        <v>$G$1211</v>
      </c>
      <c r="J1207" s="98">
        <f aca="true" t="array" ref="J1207">MATCH(TRUE,ISBLANK(G1207:G1222),0)</f>
        <v>5</v>
      </c>
      <c r="K1207" s="98">
        <f>J1207-3</f>
        <v>2</v>
      </c>
      <c r="L1207" s="98"/>
      <c r="M1207" s="98"/>
      <c r="N1207" s="98"/>
      <c r="O1207" s="98"/>
      <c r="P1207" s="98"/>
      <c r="Q1207" s="98"/>
      <c r="R1207" s="98"/>
    </row>
    <row r="1208" spans="1:18" ht="15" customHeight="1">
      <c r="A1208" s="328" t="s">
        <v>645</v>
      </c>
      <c r="B1208" s="328"/>
      <c r="C1208" s="327" t="s">
        <v>164</v>
      </c>
      <c r="D1208" s="34" t="s">
        <v>23</v>
      </c>
      <c r="E1208" s="49">
        <v>1.939</v>
      </c>
      <c r="F1208" s="1">
        <v>1.9</v>
      </c>
      <c r="G1208" s="102" t="str">
        <f>CONCATENATE(D1208," - ",E1208,", ")</f>
        <v>Brass scrap - 1.939, </v>
      </c>
      <c r="H1208" s="427"/>
      <c r="I1208" s="98" t="str">
        <f ca="1">IF(J1207&gt;=3,(MID(I1207,2,1)&amp;MID(I1207,4,4)-K1207),CELL("address",Z1208))</f>
        <v>G1209</v>
      </c>
      <c r="J1208" s="98" t="str">
        <f ca="1">IF(J1207&gt;=4,(MID(I1208,1,1)&amp;MID(I1208,2,4)+1),CELL("address",AA1208))</f>
        <v>G1210</v>
      </c>
      <c r="K1208" s="98" t="str">
        <f ca="1">IF(J1207&gt;=5,(MID(J1208,1,1)&amp;MID(J1208,2,4)+1),CELL("address",AB1208))</f>
        <v>G1211</v>
      </c>
      <c r="L1208" s="98" t="str">
        <f ca="1">IF(J1207&gt;=6,(MID(K1208,1,1)&amp;MID(K1208,2,4)+1),CELL("address",AC1208))</f>
        <v>$AC$1208</v>
      </c>
      <c r="M1208" s="98" t="str">
        <f ca="1">IF(J1207&gt;=7,(MID(L1208,1,1)&amp;MID(L1208,2,4)+1),CELL("address",AD1208))</f>
        <v>$AD$1208</v>
      </c>
      <c r="N1208" s="98" t="str">
        <f ca="1">IF(J1207&gt;=8,(MID(M1208,1,1)&amp;MID(M1208,2,4)+1),CELL("address",AE1208))</f>
        <v>$AE$1208</v>
      </c>
      <c r="O1208" s="98" t="str">
        <f ca="1">IF(J1207&gt;=9,(MID(N1208,1,1)&amp;MID(N1208,2,4)+1),CELL("address",AF1208))</f>
        <v>$AF$1208</v>
      </c>
      <c r="P1208" s="98" t="str">
        <f ca="1">IF(J1207&gt;=10,(MID(O1208,1,1)&amp;MID(O1208,2,4)+1),CELL("address",AG1208))</f>
        <v>$AG$1208</v>
      </c>
      <c r="Q1208" s="98" t="str">
        <f ca="1">IF(J1207&gt;=11,(MID(P1208,1,1)&amp;MID(P1208,2,4)+1),CELL("address",AH1208))</f>
        <v>$AH$1208</v>
      </c>
      <c r="R1208" s="98" t="str">
        <f ca="1">IF(J1207&gt;=12,(MID(Q1208,1,1)&amp;MID(Q1208,2,4)+1),CELL("address",AI1208))</f>
        <v>$AI$1208</v>
      </c>
    </row>
    <row r="1209" spans="1:8" ht="15" customHeight="1">
      <c r="A1209" s="328"/>
      <c r="B1209" s="328"/>
      <c r="C1209" s="327"/>
      <c r="D1209" s="34" t="s">
        <v>31</v>
      </c>
      <c r="E1209" s="104">
        <v>0.205</v>
      </c>
      <c r="F1209" s="1">
        <v>0.186</v>
      </c>
      <c r="G1209" s="102" t="str">
        <f>CONCATENATE(D1209," - ",E1209,", ")</f>
        <v>Misc. Alumn. Scrap - 0.205, </v>
      </c>
      <c r="H1209" s="1"/>
    </row>
    <row r="1210" spans="1:8" ht="15" customHeight="1">
      <c r="A1210" s="328"/>
      <c r="B1210" s="328"/>
      <c r="C1210" s="327"/>
      <c r="D1210" s="289" t="s">
        <v>27</v>
      </c>
      <c r="E1210" s="104">
        <v>0.025</v>
      </c>
      <c r="F1210" s="1">
        <v>0.018</v>
      </c>
      <c r="G1210" s="102" t="str">
        <f>CONCATENATE(D1210," - ",E1210,", ")</f>
        <v>Iron scrap - 0.025, </v>
      </c>
      <c r="H1210" s="1"/>
    </row>
    <row r="1211" spans="1:8" ht="15" customHeight="1">
      <c r="A1211" s="1"/>
      <c r="B1211" s="1"/>
      <c r="C1211" s="1"/>
      <c r="D1211" s="1"/>
      <c r="E1211" s="1"/>
      <c r="H1211" s="1"/>
    </row>
    <row r="1212" spans="1:8" ht="15.75" customHeight="1">
      <c r="A1212" s="335"/>
      <c r="B1212" s="336"/>
      <c r="C1212" s="66"/>
      <c r="D1212" s="66"/>
      <c r="E1212" s="67">
        <f>SUM(E1214:E1214)</f>
        <v>0.008</v>
      </c>
      <c r="H1212" s="1"/>
    </row>
    <row r="1213" spans="1:18" ht="15.75" customHeight="1">
      <c r="A1213" s="329" t="s">
        <v>5</v>
      </c>
      <c r="B1213" s="329"/>
      <c r="C1213" s="64" t="s">
        <v>17</v>
      </c>
      <c r="D1213" s="65" t="s">
        <v>18</v>
      </c>
      <c r="E1213" s="64" t="s">
        <v>7</v>
      </c>
      <c r="G1213" s="170" t="str">
        <f>CONCATENATE("Misc. Healthy parts/ Non Ferrous  Scrap, Lying at ",C1214,". Quantity in MT - ")</f>
        <v>Misc. Healthy parts/ Non Ferrous  Scrap, Lying at CS Sangrur. Quantity in MT - </v>
      </c>
      <c r="H1213" s="427" t="str">
        <f ca="1">CONCATENATE(G1213,G1214,(INDIRECT(I1214)),(INDIRECT(J1214)),(INDIRECT(K1214)),(INDIRECT(L1214)),(INDIRECT(M1214)),(INDIRECT(N1214)),(INDIRECT(O1214)),(INDIRECT(P1214)),(INDIRECT(Q1214)),(INDIRECT(R1214)),".")</f>
        <v>Misc. Healthy parts/ Non Ferrous  Scrap, Lying at CS Sangrur. Quantity in MT - Misc. copper scrap - 0.008, .</v>
      </c>
      <c r="I1213" s="98" t="str">
        <f aca="true" ca="1" t="array" ref="I1213">CELL("address",INDEX(G1213:G1228,MATCH(TRUE,ISBLANK(G1213:G1228),0)))</f>
        <v>$G$1215</v>
      </c>
      <c r="J1213" s="98">
        <f aca="true" t="array" ref="J1213">MATCH(TRUE,ISBLANK(G1213:G1228),0)</f>
        <v>3</v>
      </c>
      <c r="K1213" s="98">
        <f>J1213-3</f>
        <v>0</v>
      </c>
      <c r="L1213" s="98"/>
      <c r="M1213" s="98"/>
      <c r="N1213" s="98"/>
      <c r="O1213" s="98"/>
      <c r="P1213" s="98"/>
      <c r="Q1213" s="98"/>
      <c r="R1213" s="98"/>
    </row>
    <row r="1214" spans="1:18" ht="15.75" customHeight="1">
      <c r="A1214" s="329" t="s">
        <v>682</v>
      </c>
      <c r="B1214" s="329"/>
      <c r="C1214" s="275" t="s">
        <v>79</v>
      </c>
      <c r="D1214" s="34" t="s">
        <v>111</v>
      </c>
      <c r="E1214" s="49">
        <v>0.008</v>
      </c>
      <c r="F1214" s="1" t="s">
        <v>681</v>
      </c>
      <c r="G1214" s="102" t="str">
        <f>CONCATENATE(D1214," - ",E1214,", ")</f>
        <v>Misc. copper scrap - 0.008, </v>
      </c>
      <c r="H1214" s="427"/>
      <c r="I1214" s="98" t="str">
        <f ca="1">IF(J1213&gt;=3,(MID(I1213,2,1)&amp;MID(I1213,4,4)-K1213),CELL("address",Z1214))</f>
        <v>G1215</v>
      </c>
      <c r="J1214" s="98" t="str">
        <f ca="1">IF(J1213&gt;=4,(MID(I1214,1,1)&amp;MID(I1214,2,4)+1),CELL("address",AA1214))</f>
        <v>$AA$1214</v>
      </c>
      <c r="K1214" s="98" t="str">
        <f ca="1">IF(J1213&gt;=5,(MID(J1214,1,1)&amp;MID(J1214,2,4)+1),CELL("address",AB1214))</f>
        <v>$AB$1214</v>
      </c>
      <c r="L1214" s="98" t="str">
        <f ca="1">IF(J1213&gt;=6,(MID(K1214,1,1)&amp;MID(K1214,2,4)+1),CELL("address",AC1214))</f>
        <v>$AC$1214</v>
      </c>
      <c r="M1214" s="98" t="str">
        <f ca="1">IF(J1213&gt;=7,(MID(L1214,1,1)&amp;MID(L1214,2,4)+1),CELL("address",AD1214))</f>
        <v>$AD$1214</v>
      </c>
      <c r="N1214" s="98" t="str">
        <f ca="1">IF(J1213&gt;=8,(MID(M1214,1,1)&amp;MID(M1214,2,4)+1),CELL("address",AE1214))</f>
        <v>$AE$1214</v>
      </c>
      <c r="O1214" s="98" t="str">
        <f ca="1">IF(J1213&gt;=9,(MID(N1214,1,1)&amp;MID(N1214,2,4)+1),CELL("address",AF1214))</f>
        <v>$AF$1214</v>
      </c>
      <c r="P1214" s="98" t="str">
        <f ca="1">IF(J1213&gt;=10,(MID(O1214,1,1)&amp;MID(O1214,2,4)+1),CELL("address",AG1214))</f>
        <v>$AG$1214</v>
      </c>
      <c r="Q1214" s="98" t="str">
        <f ca="1">IF(J1213&gt;=11,(MID(P1214,1,1)&amp;MID(P1214,2,4)+1),CELL("address",AH1214))</f>
        <v>$AH$1214</v>
      </c>
      <c r="R1214" s="98" t="str">
        <f ca="1">IF(J1213&gt;=12,(MID(Q1214,1,1)&amp;MID(Q1214,2,4)+1),CELL("address",AI1214))</f>
        <v>$AI$1214</v>
      </c>
    </row>
    <row r="1215" spans="1:8" ht="15" customHeight="1">
      <c r="A1215" s="1"/>
      <c r="B1215" s="1"/>
      <c r="C1215" s="1"/>
      <c r="D1215" s="1"/>
      <c r="E1215" s="1"/>
      <c r="H1215" s="1"/>
    </row>
    <row r="1216" spans="1:8" ht="15" customHeight="1">
      <c r="A1216" s="335"/>
      <c r="B1216" s="336"/>
      <c r="C1216" s="66"/>
      <c r="D1216" s="66"/>
      <c r="E1216" s="67">
        <f>SUM(E1218:E1219)</f>
        <v>0.20600000000000002</v>
      </c>
      <c r="H1216" s="1"/>
    </row>
    <row r="1217" spans="1:18" ht="15" customHeight="1">
      <c r="A1217" s="329" t="s">
        <v>5</v>
      </c>
      <c r="B1217" s="329"/>
      <c r="C1217" s="64" t="s">
        <v>17</v>
      </c>
      <c r="D1217" s="65" t="s">
        <v>18</v>
      </c>
      <c r="E1217" s="64" t="s">
        <v>7</v>
      </c>
      <c r="G1217" s="170" t="str">
        <f>CONCATENATE("Misc. Healthy parts/ Non Ferrous  Scrap, Lying at ",C1218,". Quantity in MT - ")</f>
        <v>Misc. Healthy parts/ Non Ferrous  Scrap, Lying at TRY Sangrur. Quantity in MT - </v>
      </c>
      <c r="H1217" s="427" t="str">
        <f ca="1">CONCATENATE(G1217,G1218,(INDIRECT(I1218)),(INDIRECT(J1218)),(INDIRECT(K1218)),(INDIRECT(L1218)),(INDIRECT(M1218)),(INDIRECT(N1218)),(INDIRECT(O1218)),(INDIRECT(P1218)),(INDIRECT(Q1218)),(INDIRECT(R1218)),".")</f>
        <v>Misc. Healthy parts/ Non Ferrous  Scrap, Lying at TRY Sangrur. Quantity in MT - Brass scrap - 0.189, Misc. Alumn. Scrap - 0.017, .</v>
      </c>
      <c r="I1217" s="98" t="str">
        <f aca="true" ca="1" t="array" ref="I1217">CELL("address",INDEX(G1217:G1232,MATCH(TRUE,ISBLANK(G1217:G1232),0)))</f>
        <v>$G$1220</v>
      </c>
      <c r="J1217" s="98">
        <f aca="true" t="array" ref="J1217">MATCH(TRUE,ISBLANK(G1217:G1232),0)</f>
        <v>4</v>
      </c>
      <c r="K1217" s="98">
        <f>J1217-3</f>
        <v>1</v>
      </c>
      <c r="L1217" s="98"/>
      <c r="M1217" s="98"/>
      <c r="N1217" s="98"/>
      <c r="O1217" s="98"/>
      <c r="P1217" s="98"/>
      <c r="Q1217" s="98"/>
      <c r="R1217" s="98"/>
    </row>
    <row r="1218" spans="1:18" ht="15" customHeight="1">
      <c r="A1218" s="328" t="s">
        <v>698</v>
      </c>
      <c r="B1218" s="328"/>
      <c r="C1218" s="327" t="s">
        <v>135</v>
      </c>
      <c r="D1218" s="34" t="s">
        <v>23</v>
      </c>
      <c r="E1218" s="49">
        <v>0.189</v>
      </c>
      <c r="F1218" s="1" t="s">
        <v>681</v>
      </c>
      <c r="G1218" s="102" t="str">
        <f>CONCATENATE(D1218," - ",E1218,", ")</f>
        <v>Brass scrap - 0.189, </v>
      </c>
      <c r="H1218" s="427"/>
      <c r="I1218" s="98" t="str">
        <f ca="1">IF(J1217&gt;=3,(MID(I1217,2,1)&amp;MID(I1217,4,4)-K1217),CELL("address",Z1218))</f>
        <v>G1219</v>
      </c>
      <c r="J1218" s="98" t="str">
        <f ca="1">IF(J1217&gt;=4,(MID(I1218,1,1)&amp;MID(I1218,2,4)+1),CELL("address",AA1218))</f>
        <v>G1220</v>
      </c>
      <c r="K1218" s="98" t="str">
        <f ca="1">IF(J1217&gt;=5,(MID(J1218,1,1)&amp;MID(J1218,2,4)+1),CELL("address",AB1218))</f>
        <v>$AB$1218</v>
      </c>
      <c r="L1218" s="98" t="str">
        <f ca="1">IF(J1217&gt;=6,(MID(K1218,1,1)&amp;MID(K1218,2,4)+1),CELL("address",AC1218))</f>
        <v>$AC$1218</v>
      </c>
      <c r="M1218" s="98" t="str">
        <f ca="1">IF(J1217&gt;=7,(MID(L1218,1,1)&amp;MID(L1218,2,4)+1),CELL("address",AD1218))</f>
        <v>$AD$1218</v>
      </c>
      <c r="N1218" s="98" t="str">
        <f ca="1">IF(J1217&gt;=8,(MID(M1218,1,1)&amp;MID(M1218,2,4)+1),CELL("address",AE1218))</f>
        <v>$AE$1218</v>
      </c>
      <c r="O1218" s="98" t="str">
        <f ca="1">IF(J1217&gt;=9,(MID(N1218,1,1)&amp;MID(N1218,2,4)+1),CELL("address",AF1218))</f>
        <v>$AF$1218</v>
      </c>
      <c r="P1218" s="98" t="str">
        <f ca="1">IF(J1217&gt;=10,(MID(O1218,1,1)&amp;MID(O1218,2,4)+1),CELL("address",AG1218))</f>
        <v>$AG$1218</v>
      </c>
      <c r="Q1218" s="98" t="str">
        <f ca="1">IF(J1217&gt;=11,(MID(P1218,1,1)&amp;MID(P1218,2,4)+1),CELL("address",AH1218))</f>
        <v>$AH$1218</v>
      </c>
      <c r="R1218" s="98" t="str">
        <f ca="1">IF(J1217&gt;=12,(MID(Q1218,1,1)&amp;MID(Q1218,2,4)+1),CELL("address",AI1218))</f>
        <v>$AI$1218</v>
      </c>
    </row>
    <row r="1219" spans="1:8" ht="15" customHeight="1">
      <c r="A1219" s="328"/>
      <c r="B1219" s="328"/>
      <c r="C1219" s="327"/>
      <c r="D1219" s="34" t="s">
        <v>31</v>
      </c>
      <c r="E1219" s="104">
        <v>0.017</v>
      </c>
      <c r="F1219" s="1" t="s">
        <v>681</v>
      </c>
      <c r="G1219" s="102" t="str">
        <f>CONCATENATE(D1219," - ",E1219,", ")</f>
        <v>Misc. Alumn. Scrap - 0.017, </v>
      </c>
      <c r="H1219" s="1"/>
    </row>
    <row r="1220" spans="1:8" ht="15" customHeight="1">
      <c r="A1220" s="1"/>
      <c r="B1220" s="1"/>
      <c r="C1220" s="1"/>
      <c r="D1220" s="1"/>
      <c r="E1220" s="1"/>
      <c r="H1220" s="1"/>
    </row>
    <row r="1221" spans="1:8" ht="15" customHeight="1">
      <c r="A1221" s="335"/>
      <c r="B1221" s="336"/>
      <c r="C1221" s="66"/>
      <c r="D1221" s="66"/>
      <c r="E1221" s="67">
        <f>SUM(E1223:E1225)</f>
        <v>0.20600000000000002</v>
      </c>
      <c r="H1221" s="1"/>
    </row>
    <row r="1222" spans="1:18" ht="15" customHeight="1">
      <c r="A1222" s="329" t="s">
        <v>5</v>
      </c>
      <c r="B1222" s="329"/>
      <c r="C1222" s="64" t="s">
        <v>17</v>
      </c>
      <c r="D1222" s="65" t="s">
        <v>18</v>
      </c>
      <c r="E1222" s="64" t="s">
        <v>7</v>
      </c>
      <c r="G1222" s="170" t="str">
        <f>CONCATENATE("Misc. Healthy parts/ Non Ferrous  Scrap, Lying at ",C1223,". Quantity in MT - ")</f>
        <v>Misc. Healthy parts/ Non Ferrous  Scrap, Lying at TRY Barnala. Quantity in MT - </v>
      </c>
      <c r="H1222" s="427" t="str">
        <f ca="1">CONCATENATE(G1222,G1223,(INDIRECT(I1223)),(INDIRECT(J1223)),(INDIRECT(K1223)),(INDIRECT(L1223)),(INDIRECT(M1223)),(INDIRECT(N1223)),(INDIRECT(O1223)),(INDIRECT(P1223)),(INDIRECT(Q1223)),(INDIRECT(R1223)),".")</f>
        <v>Misc. Healthy parts/ Non Ferrous  Scrap, Lying at TRY Barnala. Quantity in MT - Brass scrap - 0.177, Misc. Alumn. Scrap - 0.012, Iron scrap - 0.017, .</v>
      </c>
      <c r="I1222" s="98" t="str">
        <f aca="true" ca="1" t="array" ref="I1222">CELL("address",INDEX(G1222:G1237,MATCH(TRUE,ISBLANK(G1222:G1237),0)))</f>
        <v>$G$1226</v>
      </c>
      <c r="J1222" s="98">
        <f aca="true" t="array" ref="J1222">MATCH(TRUE,ISBLANK(G1222:G1237),0)</f>
        <v>5</v>
      </c>
      <c r="K1222" s="98">
        <f>J1222-3</f>
        <v>2</v>
      </c>
      <c r="L1222" s="98"/>
      <c r="M1222" s="98"/>
      <c r="N1222" s="98"/>
      <c r="O1222" s="98"/>
      <c r="P1222" s="98"/>
      <c r="Q1222" s="98"/>
      <c r="R1222" s="98"/>
    </row>
    <row r="1223" spans="1:18" ht="15" customHeight="1">
      <c r="A1223" s="422" t="s">
        <v>699</v>
      </c>
      <c r="B1223" s="422"/>
      <c r="C1223" s="420" t="s">
        <v>325</v>
      </c>
      <c r="D1223" s="34" t="s">
        <v>23</v>
      </c>
      <c r="E1223" s="49">
        <v>0.177</v>
      </c>
      <c r="F1223" s="1" t="s">
        <v>681</v>
      </c>
      <c r="G1223" s="102" t="str">
        <f>CONCATENATE(D1223," - ",E1223,", ")</f>
        <v>Brass scrap - 0.177, </v>
      </c>
      <c r="H1223" s="427"/>
      <c r="I1223" s="98" t="str">
        <f ca="1">IF(J1222&gt;=3,(MID(I1222,2,1)&amp;MID(I1222,4,4)-K1222),CELL("address",Z1223))</f>
        <v>G1224</v>
      </c>
      <c r="J1223" s="98" t="str">
        <f ca="1">IF(J1222&gt;=4,(MID(I1223,1,1)&amp;MID(I1223,2,4)+1),CELL("address",AA1223))</f>
        <v>G1225</v>
      </c>
      <c r="K1223" s="98" t="str">
        <f ca="1">IF(J1222&gt;=5,(MID(J1223,1,1)&amp;MID(J1223,2,4)+1),CELL("address",AB1223))</f>
        <v>G1226</v>
      </c>
      <c r="L1223" s="98" t="str">
        <f ca="1">IF(J1222&gt;=6,(MID(K1223,1,1)&amp;MID(K1223,2,4)+1),CELL("address",AC1223))</f>
        <v>$AC$1223</v>
      </c>
      <c r="M1223" s="98" t="str">
        <f ca="1">IF(J1222&gt;=7,(MID(L1223,1,1)&amp;MID(L1223,2,4)+1),CELL("address",AD1223))</f>
        <v>$AD$1223</v>
      </c>
      <c r="N1223" s="98" t="str">
        <f ca="1">IF(J1222&gt;=8,(MID(M1223,1,1)&amp;MID(M1223,2,4)+1),CELL("address",AE1223))</f>
        <v>$AE$1223</v>
      </c>
      <c r="O1223" s="98" t="str">
        <f ca="1">IF(J1222&gt;=9,(MID(N1223,1,1)&amp;MID(N1223,2,4)+1),CELL("address",AF1223))</f>
        <v>$AF$1223</v>
      </c>
      <c r="P1223" s="98" t="str">
        <f ca="1">IF(J1222&gt;=10,(MID(O1223,1,1)&amp;MID(O1223,2,4)+1),CELL("address",AG1223))</f>
        <v>$AG$1223</v>
      </c>
      <c r="Q1223" s="98" t="str">
        <f ca="1">IF(J1222&gt;=11,(MID(P1223,1,1)&amp;MID(P1223,2,4)+1),CELL("address",AH1223))</f>
        <v>$AH$1223</v>
      </c>
      <c r="R1223" s="98" t="str">
        <f ca="1">IF(J1222&gt;=12,(MID(Q1223,1,1)&amp;MID(Q1223,2,4)+1),CELL("address",AI1223))</f>
        <v>$AI$1223</v>
      </c>
    </row>
    <row r="1224" spans="1:8" ht="15" customHeight="1">
      <c r="A1224" s="423"/>
      <c r="B1224" s="423"/>
      <c r="C1224" s="421"/>
      <c r="D1224" s="34" t="s">
        <v>31</v>
      </c>
      <c r="E1224" s="104">
        <v>0.012</v>
      </c>
      <c r="F1224" s="1" t="s">
        <v>681</v>
      </c>
      <c r="G1224" s="102" t="str">
        <f>CONCATENATE(D1224," - ",E1224,", ")</f>
        <v>Misc. Alumn. Scrap - 0.012, </v>
      </c>
      <c r="H1224" s="1"/>
    </row>
    <row r="1225" spans="1:8" ht="15" customHeight="1">
      <c r="A1225" s="423"/>
      <c r="B1225" s="423"/>
      <c r="C1225" s="421"/>
      <c r="D1225" s="289" t="s">
        <v>27</v>
      </c>
      <c r="E1225" s="309">
        <v>0.017</v>
      </c>
      <c r="F1225" s="1" t="s">
        <v>681</v>
      </c>
      <c r="G1225" s="102" t="str">
        <f>CONCATENATE(D1225," - ",E1225,", ")</f>
        <v>Iron scrap - 0.017, </v>
      </c>
      <c r="H1225" s="1"/>
    </row>
    <row r="1226" spans="1:8" ht="15" customHeight="1">
      <c r="A1226" s="1"/>
      <c r="B1226" s="1"/>
      <c r="C1226" s="1"/>
      <c r="D1226" s="1"/>
      <c r="E1226" s="1"/>
      <c r="H1226" s="1"/>
    </row>
    <row r="1227" spans="1:8" ht="15" customHeight="1">
      <c r="A1227" s="1"/>
      <c r="B1227" s="1"/>
      <c r="C1227" s="1"/>
      <c r="D1227" s="1"/>
      <c r="E1227" s="1"/>
      <c r="H1227" s="1"/>
    </row>
    <row r="1228" spans="1:8" ht="15" customHeight="1">
      <c r="A1228" s="1"/>
      <c r="B1228" s="1"/>
      <c r="C1228" s="1"/>
      <c r="D1228" s="1"/>
      <c r="E1228" s="1"/>
      <c r="H1228" s="1"/>
    </row>
    <row r="1229" spans="1:8" ht="15" customHeight="1">
      <c r="A1229" s="1"/>
      <c r="B1229" s="1"/>
      <c r="C1229" s="1"/>
      <c r="D1229" s="1"/>
      <c r="E1229" s="1"/>
      <c r="H1229" s="1"/>
    </row>
    <row r="1230" spans="1:8" ht="15" customHeight="1">
      <c r="A1230" s="1"/>
      <c r="B1230" s="1"/>
      <c r="C1230" s="1"/>
      <c r="D1230" s="1"/>
      <c r="E1230" s="1"/>
      <c r="H1230" s="1"/>
    </row>
    <row r="1231" spans="1:8" ht="15" customHeight="1">
      <c r="A1231" s="1"/>
      <c r="B1231" s="1"/>
      <c r="C1231" s="1"/>
      <c r="D1231" s="1"/>
      <c r="E1231" s="1"/>
      <c r="H1231" s="1"/>
    </row>
    <row r="1232" spans="1:8" ht="15" customHeight="1">
      <c r="A1232" s="1"/>
      <c r="B1232" s="1"/>
      <c r="C1232" s="1"/>
      <c r="D1232" s="1"/>
      <c r="E1232" s="1"/>
      <c r="H1232" s="1"/>
    </row>
    <row r="1233" s="1" customFormat="1" ht="13.5" customHeight="1"/>
    <row r="1234" s="1" customFormat="1" ht="13.5" customHeight="1"/>
    <row r="1235" s="1" customFormat="1" ht="15" customHeight="1"/>
    <row r="1236" s="1" customFormat="1" ht="15" customHeight="1"/>
    <row r="1237" s="1" customFormat="1" ht="15" customHeight="1"/>
    <row r="1238" s="1" customFormat="1" ht="15" customHeight="1"/>
    <row r="1239" s="1" customFormat="1" ht="15" customHeight="1"/>
    <row r="1240" s="1" customFormat="1" ht="16.5" customHeight="1"/>
    <row r="1241" s="1" customFormat="1" ht="16.5" customHeight="1"/>
    <row r="1242" s="1" customFormat="1" ht="16.5" customHeight="1"/>
    <row r="1243" s="1" customFormat="1" ht="16.5" customHeight="1"/>
    <row r="1244" s="1" customFormat="1" ht="16.5" customHeight="1"/>
    <row r="1245" s="1" customFormat="1" ht="16.5" customHeight="1"/>
    <row r="1246" s="1" customFormat="1" ht="16.5" customHeight="1"/>
    <row r="1247" s="1" customFormat="1" ht="15" customHeight="1"/>
    <row r="1248" s="1" customFormat="1" ht="15" customHeight="1"/>
    <row r="1249" s="1" customFormat="1" ht="15" customHeight="1"/>
    <row r="1250" s="1" customFormat="1" ht="14.25" customHeight="1"/>
    <row r="1251" s="1" customFormat="1" ht="14.25" customHeight="1"/>
    <row r="1252" s="1" customFormat="1" ht="14.25" customHeight="1"/>
    <row r="1253" s="1" customFormat="1" ht="14.25" customHeight="1"/>
    <row r="1254" s="1" customFormat="1" ht="14.25" customHeight="1"/>
    <row r="1255" s="1" customFormat="1" ht="14.25" customHeight="1"/>
    <row r="1256" s="1" customFormat="1" ht="14.25" customHeight="1"/>
    <row r="1257" s="1" customFormat="1" ht="14.25" customHeight="1"/>
    <row r="1258" s="1" customFormat="1" ht="14.25" customHeight="1"/>
    <row r="1259" s="1" customFormat="1" ht="14.25" customHeight="1"/>
    <row r="1260" s="1" customFormat="1" ht="14.25" customHeight="1"/>
    <row r="1261" s="1" customFormat="1" ht="14.25" customHeight="1"/>
    <row r="1262" s="1" customFormat="1" ht="14.25" customHeight="1"/>
    <row r="1263" s="1" customFormat="1" ht="14.25" customHeight="1"/>
    <row r="1264" s="1" customFormat="1" ht="14.25" customHeight="1"/>
    <row r="1265" s="1" customFormat="1" ht="14.25" customHeight="1"/>
    <row r="1266" s="1" customFormat="1" ht="14.25" customHeight="1"/>
    <row r="1267" s="1" customFormat="1" ht="14.25" customHeight="1"/>
    <row r="1268" s="1" customFormat="1" ht="14.25" customHeight="1"/>
    <row r="1269" s="1" customFormat="1" ht="14.25" customHeight="1"/>
    <row r="1270" s="1" customFormat="1" ht="14.25" customHeight="1"/>
    <row r="1271" s="1" customFormat="1" ht="14.25" customHeight="1"/>
    <row r="1272" s="1" customFormat="1" ht="14.25" customHeight="1"/>
    <row r="1273" s="1" customFormat="1" ht="14.25" customHeight="1"/>
    <row r="1274" s="1" customFormat="1" ht="14.25" customHeight="1"/>
    <row r="1275" s="1" customFormat="1" ht="14.25" customHeight="1"/>
    <row r="1276" s="1" customFormat="1" ht="14.25" customHeight="1"/>
    <row r="1277" s="1" customFormat="1" ht="14.25" customHeight="1"/>
    <row r="1278" s="1" customFormat="1" ht="14.25" customHeight="1"/>
    <row r="1279" s="1" customFormat="1" ht="14.25" customHeight="1"/>
    <row r="1280" s="1" customFormat="1" ht="14.25" customHeight="1"/>
    <row r="1281" s="1" customFormat="1" ht="14.25" customHeight="1"/>
    <row r="1282" s="1" customFormat="1" ht="14.25" customHeight="1"/>
    <row r="1283" s="1" customFormat="1" ht="14.25" customHeight="1"/>
    <row r="1284" s="1" customFormat="1" ht="14.25" customHeight="1"/>
    <row r="1285" s="1" customFormat="1" ht="14.25" customHeight="1"/>
    <row r="1286" s="1" customFormat="1" ht="14.25" customHeight="1"/>
    <row r="1287" s="1" customFormat="1" ht="14.25" customHeight="1"/>
    <row r="1288" s="1" customFormat="1" ht="14.25" customHeight="1"/>
    <row r="1289" s="1" customFormat="1" ht="14.25" customHeight="1"/>
    <row r="1290" s="1" customFormat="1" ht="14.25" customHeight="1"/>
    <row r="1291" s="1" customFormat="1" ht="14.25" customHeight="1"/>
    <row r="1292" s="1" customFormat="1" ht="14.25" customHeight="1"/>
    <row r="1293" s="1" customFormat="1" ht="14.25" customHeight="1"/>
    <row r="1294" s="1" customFormat="1" ht="14.25" customHeight="1"/>
    <row r="1295" s="1" customFormat="1" ht="14.25" customHeight="1"/>
    <row r="1296" s="1" customFormat="1" ht="14.25" customHeight="1"/>
    <row r="1297" spans="1:8" ht="14.25" customHeight="1">
      <c r="A1297" s="1"/>
      <c r="B1297" s="1"/>
      <c r="C1297" s="1"/>
      <c r="D1297" s="1"/>
      <c r="E1297" s="1"/>
      <c r="H1297" s="1"/>
    </row>
    <row r="1298" spans="1:8" ht="14.25" customHeight="1">
      <c r="A1298" s="1"/>
      <c r="B1298" s="1"/>
      <c r="C1298" s="1"/>
      <c r="D1298" s="1"/>
      <c r="E1298" s="1"/>
      <c r="H1298" s="1"/>
    </row>
    <row r="1299" spans="1:8" ht="14.25" customHeight="1">
      <c r="A1299" s="1"/>
      <c r="B1299" s="1"/>
      <c r="C1299" s="1"/>
      <c r="D1299" s="1"/>
      <c r="E1299" s="1"/>
      <c r="H1299" s="1"/>
    </row>
    <row r="1300" spans="1:8" ht="14.25" customHeight="1">
      <c r="A1300" s="1"/>
      <c r="B1300" s="1"/>
      <c r="C1300" s="1"/>
      <c r="D1300" s="1"/>
      <c r="E1300" s="1"/>
      <c r="H1300" s="1"/>
    </row>
    <row r="1301" spans="1:8" ht="14.25" customHeight="1">
      <c r="A1301" s="1"/>
      <c r="B1301" s="1"/>
      <c r="C1301" s="1"/>
      <c r="D1301" s="1"/>
      <c r="E1301" s="1"/>
      <c r="H1301" s="1"/>
    </row>
    <row r="1302" spans="1:5" ht="14.25" customHeight="1">
      <c r="A1302" s="1"/>
      <c r="B1302" s="1"/>
      <c r="C1302" s="1"/>
      <c r="D1302" s="1"/>
      <c r="E1302" s="1"/>
    </row>
    <row r="1303" spans="1:5" ht="14.25" customHeight="1">
      <c r="A1303" s="1"/>
      <c r="B1303" s="1"/>
      <c r="C1303" s="1"/>
      <c r="D1303" s="1"/>
      <c r="E1303" s="1"/>
    </row>
    <row r="1304" spans="1:5" ht="14.25" customHeight="1">
      <c r="A1304" s="1"/>
      <c r="B1304" s="1"/>
      <c r="C1304" s="1"/>
      <c r="D1304" s="1"/>
      <c r="E1304" s="1"/>
    </row>
    <row r="1305" spans="1:5" ht="14.25" customHeight="1">
      <c r="A1305" s="1"/>
      <c r="B1305" s="1"/>
      <c r="C1305" s="1"/>
      <c r="D1305" s="1"/>
      <c r="E1305" s="1"/>
    </row>
    <row r="1306" spans="1:5" ht="14.25" customHeight="1">
      <c r="A1306" s="1"/>
      <c r="B1306" s="1"/>
      <c r="C1306" s="1"/>
      <c r="D1306" s="1"/>
      <c r="E1306" s="1"/>
    </row>
    <row r="1307" spans="1:5" ht="14.25" customHeight="1">
      <c r="A1307" s="1"/>
      <c r="B1307" s="1"/>
      <c r="C1307" s="1"/>
      <c r="D1307" s="1"/>
      <c r="E1307" s="1"/>
    </row>
    <row r="1308" ht="14.25" customHeight="1"/>
    <row r="1309" ht="14.25" customHeight="1"/>
    <row r="1310" ht="14.25" customHeight="1"/>
    <row r="1311" ht="14.25" customHeight="1"/>
    <row r="1312" ht="19.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</sheetData>
  <sheetProtection/>
  <mergeCells count="661">
    <mergeCell ref="A954:B954"/>
    <mergeCell ref="C26:D26"/>
    <mergeCell ref="A26:B26"/>
    <mergeCell ref="B686:C691"/>
    <mergeCell ref="A686:A691"/>
    <mergeCell ref="C906:C910"/>
    <mergeCell ref="A906:B910"/>
    <mergeCell ref="A505:C505"/>
    <mergeCell ref="A759:A762"/>
    <mergeCell ref="A521:E521"/>
    <mergeCell ref="C1223:C1225"/>
    <mergeCell ref="A1223:B1225"/>
    <mergeCell ref="H1217:H1218"/>
    <mergeCell ref="H1222:H1223"/>
    <mergeCell ref="A1216:B1216"/>
    <mergeCell ref="A1217:B1217"/>
    <mergeCell ref="A1218:B1219"/>
    <mergeCell ref="C1218:C1219"/>
    <mergeCell ref="A1221:B1221"/>
    <mergeCell ref="A1222:B1222"/>
    <mergeCell ref="C22:D22"/>
    <mergeCell ref="A22:B22"/>
    <mergeCell ref="A1212:B1212"/>
    <mergeCell ref="A1213:B1213"/>
    <mergeCell ref="A1214:B1214"/>
    <mergeCell ref="H1213:H1214"/>
    <mergeCell ref="C895:C897"/>
    <mergeCell ref="A895:B897"/>
    <mergeCell ref="A583:C583"/>
    <mergeCell ref="A597:C597"/>
    <mergeCell ref="A1203:B1203"/>
    <mergeCell ref="C925:C926"/>
    <mergeCell ref="A925:B926"/>
    <mergeCell ref="A53:B53"/>
    <mergeCell ref="C8:D8"/>
    <mergeCell ref="C16:D16"/>
    <mergeCell ref="A8:B8"/>
    <mergeCell ref="A18:B18"/>
    <mergeCell ref="A1202:B1202"/>
    <mergeCell ref="A1199:B1200"/>
    <mergeCell ref="A1204:B1204"/>
    <mergeCell ref="T1204:X1204"/>
    <mergeCell ref="C37:D37"/>
    <mergeCell ref="A37:B37"/>
    <mergeCell ref="C45:D45"/>
    <mergeCell ref="C51:D51"/>
    <mergeCell ref="C53:D53"/>
    <mergeCell ref="A45:B45"/>
    <mergeCell ref="A1198:B1198"/>
    <mergeCell ref="H1203:H1204"/>
    <mergeCell ref="C1199:C1200"/>
    <mergeCell ref="H1198:H1199"/>
    <mergeCell ref="C813:C815"/>
    <mergeCell ref="A813:B815"/>
    <mergeCell ref="H920:H921"/>
    <mergeCell ref="A921:B921"/>
    <mergeCell ref="H1187:H1188"/>
    <mergeCell ref="H1193:H1194"/>
    <mergeCell ref="A1194:B1195"/>
    <mergeCell ref="C1194:C1195"/>
    <mergeCell ref="A1197:B1197"/>
    <mergeCell ref="C46:D46"/>
    <mergeCell ref="C47:D47"/>
    <mergeCell ref="A46:B46"/>
    <mergeCell ref="A47:B47"/>
    <mergeCell ref="A920:B920"/>
    <mergeCell ref="A51:B51"/>
    <mergeCell ref="A509:C509"/>
    <mergeCell ref="C1150:C1154"/>
    <mergeCell ref="A1150:B1154"/>
    <mergeCell ref="C17:D17"/>
    <mergeCell ref="A17:B17"/>
    <mergeCell ref="A19:B19"/>
    <mergeCell ref="C43:D43"/>
    <mergeCell ref="A450:E450"/>
    <mergeCell ref="A49:B49"/>
    <mergeCell ref="C54:D54"/>
    <mergeCell ref="A54:B54"/>
    <mergeCell ref="A401:C401"/>
    <mergeCell ref="A426:C426"/>
    <mergeCell ref="C1123:C1127"/>
    <mergeCell ref="A1123:B1127"/>
    <mergeCell ref="A1186:B1186"/>
    <mergeCell ref="A1187:B1187"/>
    <mergeCell ref="C1183:C1184"/>
    <mergeCell ref="A1144:B1144"/>
    <mergeCell ref="A1136:B1136"/>
    <mergeCell ref="A1137:B1137"/>
    <mergeCell ref="A1129:B1129"/>
    <mergeCell ref="C1131:C1134"/>
    <mergeCell ref="A1192:B1192"/>
    <mergeCell ref="A1193:B1193"/>
    <mergeCell ref="H1169:H1170"/>
    <mergeCell ref="H1177:H1178"/>
    <mergeCell ref="H1182:H1183"/>
    <mergeCell ref="A1181:B1181"/>
    <mergeCell ref="A1182:B1182"/>
    <mergeCell ref="A1183:B1184"/>
    <mergeCell ref="A1178:B1179"/>
    <mergeCell ref="C1178:C1179"/>
    <mergeCell ref="H1149:H1150"/>
    <mergeCell ref="H1046:H1047"/>
    <mergeCell ref="H1054:H1055"/>
    <mergeCell ref="H1065:H1066"/>
    <mergeCell ref="H1070:H1071"/>
    <mergeCell ref="H1075:H1076"/>
    <mergeCell ref="H1083:H1084"/>
    <mergeCell ref="H1110:H1111"/>
    <mergeCell ref="H1114:H1115"/>
    <mergeCell ref="H1162:H1163"/>
    <mergeCell ref="H1088:H1089"/>
    <mergeCell ref="H1093:H1094"/>
    <mergeCell ref="H1102:H1103"/>
    <mergeCell ref="H1106:H1107"/>
    <mergeCell ref="H1118:H1119"/>
    <mergeCell ref="H1122:H1123"/>
    <mergeCell ref="H1130:H1131"/>
    <mergeCell ref="H1137:H1138"/>
    <mergeCell ref="H1145:H1146"/>
    <mergeCell ref="H1015:H1016"/>
    <mergeCell ref="H860:H861"/>
    <mergeCell ref="H873:H874"/>
    <mergeCell ref="H880:H881"/>
    <mergeCell ref="H887:H888"/>
    <mergeCell ref="H1157:H1158"/>
    <mergeCell ref="H1023:H1024"/>
    <mergeCell ref="H1028:H1029"/>
    <mergeCell ref="H1035:H1036"/>
    <mergeCell ref="H1042:H1043"/>
    <mergeCell ref="H694:H695"/>
    <mergeCell ref="H700:H701"/>
    <mergeCell ref="H707:H708"/>
    <mergeCell ref="H715:H716"/>
    <mergeCell ref="H722:H723"/>
    <mergeCell ref="H1006:H1007"/>
    <mergeCell ref="H802:H803"/>
    <mergeCell ref="H812:H813"/>
    <mergeCell ref="H818:H819"/>
    <mergeCell ref="H824:H825"/>
    <mergeCell ref="H664:H665"/>
    <mergeCell ref="B635:C635"/>
    <mergeCell ref="B665:C668"/>
    <mergeCell ref="B647:C647"/>
    <mergeCell ref="B655:C655"/>
    <mergeCell ref="H685:H686"/>
    <mergeCell ref="B678:C678"/>
    <mergeCell ref="B679:C682"/>
    <mergeCell ref="H635:H636"/>
    <mergeCell ref="H642:H643"/>
    <mergeCell ref="H649:H650"/>
    <mergeCell ref="H656:H657"/>
    <mergeCell ref="A636:A639"/>
    <mergeCell ref="A537:C537"/>
    <mergeCell ref="A553:E553"/>
    <mergeCell ref="B650:C653"/>
    <mergeCell ref="B641:C641"/>
    <mergeCell ref="A576:C576"/>
    <mergeCell ref="A581:E581"/>
    <mergeCell ref="B656:C656"/>
    <mergeCell ref="B738:C738"/>
    <mergeCell ref="B716:C719"/>
    <mergeCell ref="B759:C762"/>
    <mergeCell ref="B758:C758"/>
    <mergeCell ref="A679:A682"/>
    <mergeCell ref="A752:A755"/>
    <mergeCell ref="A555:C555"/>
    <mergeCell ref="A452:C452"/>
    <mergeCell ref="A461:C461"/>
    <mergeCell ref="B664:C664"/>
    <mergeCell ref="B672:C675"/>
    <mergeCell ref="A523:C523"/>
    <mergeCell ref="A527:C527"/>
    <mergeCell ref="A503:E503"/>
    <mergeCell ref="C21:D21"/>
    <mergeCell ref="A21:B21"/>
    <mergeCell ref="C825:C826"/>
    <mergeCell ref="A825:B826"/>
    <mergeCell ref="C861:C870"/>
    <mergeCell ref="A861:B870"/>
    <mergeCell ref="A386:E386"/>
    <mergeCell ref="A388:C388"/>
    <mergeCell ref="A395:C395"/>
    <mergeCell ref="B744:C744"/>
    <mergeCell ref="C1089:C1090"/>
    <mergeCell ref="A1089:B1090"/>
    <mergeCell ref="A913:B913"/>
    <mergeCell ref="C772:C773"/>
    <mergeCell ref="A951:B951"/>
    <mergeCell ref="C781:C782"/>
    <mergeCell ref="A780:B780"/>
    <mergeCell ref="A796:B796"/>
    <mergeCell ref="A933:B933"/>
    <mergeCell ref="A934:B934"/>
    <mergeCell ref="B695:C697"/>
    <mergeCell ref="A746:A748"/>
    <mergeCell ref="A723:A726"/>
    <mergeCell ref="B707:C707"/>
    <mergeCell ref="A716:A719"/>
    <mergeCell ref="A412:C412"/>
    <mergeCell ref="B642:C642"/>
    <mergeCell ref="A420:E420"/>
    <mergeCell ref="A482:C482"/>
    <mergeCell ref="B722:C722"/>
    <mergeCell ref="A437:E437"/>
    <mergeCell ref="A439:C439"/>
    <mergeCell ref="A268:C268"/>
    <mergeCell ref="A406:E406"/>
    <mergeCell ref="A408:C408"/>
    <mergeCell ref="A319:C319"/>
    <mergeCell ref="A332:C332"/>
    <mergeCell ref="A295:C295"/>
    <mergeCell ref="A372:E372"/>
    <mergeCell ref="A422:C422"/>
    <mergeCell ref="B648:C648"/>
    <mergeCell ref="A480:E480"/>
    <mergeCell ref="A216:C216"/>
    <mergeCell ref="A776:B776"/>
    <mergeCell ref="A657:A661"/>
    <mergeCell ref="A374:C374"/>
    <mergeCell ref="A377:C377"/>
    <mergeCell ref="A695:A697"/>
    <mergeCell ref="A329:C329"/>
    <mergeCell ref="A293:E293"/>
    <mergeCell ref="A672:A675"/>
    <mergeCell ref="C767:C768"/>
    <mergeCell ref="B745:C745"/>
    <mergeCell ref="A250:C250"/>
    <mergeCell ref="A31:B31"/>
    <mergeCell ref="C941:D941"/>
    <mergeCell ref="A313:E313"/>
    <mergeCell ref="A276:C276"/>
    <mergeCell ref="A298:C298"/>
    <mergeCell ref="A781:B782"/>
    <mergeCell ref="B978:C978"/>
    <mergeCell ref="A665:A668"/>
    <mergeCell ref="A803:B808"/>
    <mergeCell ref="A43:B43"/>
    <mergeCell ref="A786:B788"/>
    <mergeCell ref="A315:C315"/>
    <mergeCell ref="A274:E274"/>
    <mergeCell ref="A255:C255"/>
    <mergeCell ref="A261:E261"/>
    <mergeCell ref="A263:C263"/>
    <mergeCell ref="A818:B818"/>
    <mergeCell ref="A785:B785"/>
    <mergeCell ref="C803:C808"/>
    <mergeCell ref="A791:B791"/>
    <mergeCell ref="C792:C795"/>
    <mergeCell ref="A792:B795"/>
    <mergeCell ref="C1036:C1039"/>
    <mergeCell ref="A947:B947"/>
    <mergeCell ref="C1024:C1025"/>
    <mergeCell ref="B981:C981"/>
    <mergeCell ref="A798:B798"/>
    <mergeCell ref="C938:D938"/>
    <mergeCell ref="A905:B905"/>
    <mergeCell ref="A999:B999"/>
    <mergeCell ref="B960:C960"/>
    <mergeCell ref="C953:D953"/>
    <mergeCell ref="A1087:B1087"/>
    <mergeCell ref="A1075:B1075"/>
    <mergeCell ref="A797:B797"/>
    <mergeCell ref="A1024:B1025"/>
    <mergeCell ref="A1027:B1027"/>
    <mergeCell ref="A1042:B1042"/>
    <mergeCell ref="A1041:B1041"/>
    <mergeCell ref="A1036:B1039"/>
    <mergeCell ref="A1023:B1023"/>
    <mergeCell ref="A953:B953"/>
    <mergeCell ref="A1115:B1115"/>
    <mergeCell ref="A1109:B1109"/>
    <mergeCell ref="A1121:B1121"/>
    <mergeCell ref="A1088:B1088"/>
    <mergeCell ref="A1102:B1102"/>
    <mergeCell ref="A1138:B1142"/>
    <mergeCell ref="A1104:B1104"/>
    <mergeCell ref="A1103:B1103"/>
    <mergeCell ref="A1119:B1119"/>
    <mergeCell ref="A1117:B1117"/>
    <mergeCell ref="A1116:B1116"/>
    <mergeCell ref="A1107:B1107"/>
    <mergeCell ref="A1105:B1105"/>
    <mergeCell ref="A1112:B1112"/>
    <mergeCell ref="A1113:B1113"/>
    <mergeCell ref="A1111:B1111"/>
    <mergeCell ref="A1106:B1106"/>
    <mergeCell ref="A1108:B1108"/>
    <mergeCell ref="A1114:B1114"/>
    <mergeCell ref="A1110:B1110"/>
    <mergeCell ref="A1093:B1093"/>
    <mergeCell ref="A1094:B1099"/>
    <mergeCell ref="A1101:B1101"/>
    <mergeCell ref="A1084:B1085"/>
    <mergeCell ref="A1068:B1068"/>
    <mergeCell ref="A1065:B1065"/>
    <mergeCell ref="A1066:B1067"/>
    <mergeCell ref="A1074:B1074"/>
    <mergeCell ref="A1076:B1080"/>
    <mergeCell ref="A1082:B1082"/>
    <mergeCell ref="A1054:B1054"/>
    <mergeCell ref="A1070:B1070"/>
    <mergeCell ref="C1047:C1051"/>
    <mergeCell ref="A1047:B1051"/>
    <mergeCell ref="H766:H767"/>
    <mergeCell ref="C1071:C1072"/>
    <mergeCell ref="A1026:B1026"/>
    <mergeCell ref="C951:D951"/>
    <mergeCell ref="C1029:C1032"/>
    <mergeCell ref="C954:D954"/>
    <mergeCell ref="H729:H730"/>
    <mergeCell ref="H771:H772"/>
    <mergeCell ref="H776:H777"/>
    <mergeCell ref="H780:H781"/>
    <mergeCell ref="H785:H786"/>
    <mergeCell ref="A957:E957"/>
    <mergeCell ref="H738:H739"/>
    <mergeCell ref="H745:H746"/>
    <mergeCell ref="H751:H752"/>
    <mergeCell ref="H758:H759"/>
    <mergeCell ref="C39:D39"/>
    <mergeCell ref="B657:C661"/>
    <mergeCell ref="A650:A653"/>
    <mergeCell ref="C40:D40"/>
    <mergeCell ref="A220:C220"/>
    <mergeCell ref="A230:C230"/>
    <mergeCell ref="A243:C243"/>
    <mergeCell ref="A281:C281"/>
    <mergeCell ref="A288:C288"/>
    <mergeCell ref="A61:E61"/>
    <mergeCell ref="A63:C63"/>
    <mergeCell ref="A135:C135"/>
    <mergeCell ref="A214:E214"/>
    <mergeCell ref="A174:C174"/>
    <mergeCell ref="A203:C203"/>
    <mergeCell ref="A154:E154"/>
    <mergeCell ref="A156:C156"/>
    <mergeCell ref="A161:C161"/>
    <mergeCell ref="A201:E201"/>
    <mergeCell ref="A92:E92"/>
    <mergeCell ref="C31:D31"/>
    <mergeCell ref="A38:B38"/>
    <mergeCell ref="C48:D48"/>
    <mergeCell ref="A118:E118"/>
    <mergeCell ref="A104:E104"/>
    <mergeCell ref="A78:E78"/>
    <mergeCell ref="A58:E58"/>
    <mergeCell ref="A98:C98"/>
    <mergeCell ref="C38:D38"/>
    <mergeCell ref="C56:D56"/>
    <mergeCell ref="A13:B13"/>
    <mergeCell ref="D33:E33"/>
    <mergeCell ref="A14:B14"/>
    <mergeCell ref="C15:D15"/>
    <mergeCell ref="A15:B15"/>
    <mergeCell ref="C27:D27"/>
    <mergeCell ref="C14:D14"/>
    <mergeCell ref="A16:B16"/>
    <mergeCell ref="C18:D18"/>
    <mergeCell ref="C19:D19"/>
    <mergeCell ref="C9:D9"/>
    <mergeCell ref="C20:D20"/>
    <mergeCell ref="A20:B20"/>
    <mergeCell ref="A9:B9"/>
    <mergeCell ref="A11:B11"/>
    <mergeCell ref="A10:B10"/>
    <mergeCell ref="C12:D12"/>
    <mergeCell ref="A12:B12"/>
    <mergeCell ref="C13:D13"/>
    <mergeCell ref="C11:D11"/>
    <mergeCell ref="A59:E59"/>
    <mergeCell ref="A35:B35"/>
    <mergeCell ref="A27:B27"/>
    <mergeCell ref="A29:D29"/>
    <mergeCell ref="A30:B30"/>
    <mergeCell ref="C30:D30"/>
    <mergeCell ref="A57:E57"/>
    <mergeCell ref="C49:D49"/>
    <mergeCell ref="A39:B39"/>
    <mergeCell ref="A32:B32"/>
    <mergeCell ref="A1:E1"/>
    <mergeCell ref="A2:C2"/>
    <mergeCell ref="A4:E4"/>
    <mergeCell ref="A3:C3"/>
    <mergeCell ref="A5:D5"/>
    <mergeCell ref="A48:B48"/>
    <mergeCell ref="C32:D32"/>
    <mergeCell ref="C10:D10"/>
    <mergeCell ref="A7:B7"/>
    <mergeCell ref="C7:D7"/>
    <mergeCell ref="C44:D44"/>
    <mergeCell ref="A40:B40"/>
    <mergeCell ref="C42:D42"/>
    <mergeCell ref="A44:B44"/>
    <mergeCell ref="A42:B42"/>
    <mergeCell ref="A41:B41"/>
    <mergeCell ref="C6:D6"/>
    <mergeCell ref="A6:B6"/>
    <mergeCell ref="A56:B56"/>
    <mergeCell ref="A34:D34"/>
    <mergeCell ref="C36:D36"/>
    <mergeCell ref="A1022:B1022"/>
    <mergeCell ref="C35:D35"/>
    <mergeCell ref="A36:B36"/>
    <mergeCell ref="C41:D41"/>
    <mergeCell ref="A50:B50"/>
    <mergeCell ref="B976:C976"/>
    <mergeCell ref="B966:C966"/>
    <mergeCell ref="A936:E936"/>
    <mergeCell ref="B967:C967"/>
    <mergeCell ref="A986:E986"/>
    <mergeCell ref="A1034:B1034"/>
    <mergeCell ref="A1007:B1012"/>
    <mergeCell ref="A943:B943"/>
    <mergeCell ref="C945:D945"/>
    <mergeCell ref="C940:D940"/>
    <mergeCell ref="A1028:B1028"/>
    <mergeCell ref="A1016:B1020"/>
    <mergeCell ref="A1015:B1015"/>
    <mergeCell ref="A1035:B1035"/>
    <mergeCell ref="A1043:B1043"/>
    <mergeCell ref="A1029:B1032"/>
    <mergeCell ref="A839:B843"/>
    <mergeCell ref="A847:B849"/>
    <mergeCell ref="A873:B873"/>
    <mergeCell ref="A994:E994"/>
    <mergeCell ref="A959:E959"/>
    <mergeCell ref="B964:C964"/>
    <mergeCell ref="B969:C969"/>
    <mergeCell ref="A988:E988"/>
    <mergeCell ref="C839:C843"/>
    <mergeCell ref="A941:B941"/>
    <mergeCell ref="A852:B852"/>
    <mergeCell ref="A880:B880"/>
    <mergeCell ref="A1006:B1006"/>
    <mergeCell ref="A1004:B1004"/>
    <mergeCell ref="A984:E984"/>
    <mergeCell ref="A946:B946"/>
    <mergeCell ref="A1005:B1005"/>
    <mergeCell ref="C939:D939"/>
    <mergeCell ref="C943:D943"/>
    <mergeCell ref="A939:B939"/>
    <mergeCell ref="C942:D942"/>
    <mergeCell ref="A944:B944"/>
    <mergeCell ref="C1016:C1020"/>
    <mergeCell ref="B963:C963"/>
    <mergeCell ref="A1014:B1014"/>
    <mergeCell ref="C1007:C1012"/>
    <mergeCell ref="C1000:C1003"/>
    <mergeCell ref="B979:C979"/>
    <mergeCell ref="C952:D952"/>
    <mergeCell ref="A952:B952"/>
    <mergeCell ref="H999:H1000"/>
    <mergeCell ref="B975:C975"/>
    <mergeCell ref="C950:D950"/>
    <mergeCell ref="A950:B950"/>
    <mergeCell ref="B973:C973"/>
    <mergeCell ref="B972:C972"/>
    <mergeCell ref="B982:C982"/>
    <mergeCell ref="B961:C961"/>
    <mergeCell ref="A1000:B1003"/>
    <mergeCell ref="A995:E995"/>
    <mergeCell ref="Q787:U788"/>
    <mergeCell ref="A955:B955"/>
    <mergeCell ref="A799:B799"/>
    <mergeCell ref="A846:B846"/>
    <mergeCell ref="A938:B938"/>
    <mergeCell ref="C947:D947"/>
    <mergeCell ref="H791:H792"/>
    <mergeCell ref="A888:B891"/>
    <mergeCell ref="A802:B802"/>
    <mergeCell ref="H924:H925"/>
    <mergeCell ref="Q997:T997"/>
    <mergeCell ref="H833:H834"/>
    <mergeCell ref="H846:H847"/>
    <mergeCell ref="C874:C877"/>
    <mergeCell ref="H829:H830"/>
    <mergeCell ref="C937:D937"/>
    <mergeCell ref="H905:H906"/>
    <mergeCell ref="H913:H914"/>
    <mergeCell ref="B970:C970"/>
    <mergeCell ref="A942:B942"/>
    <mergeCell ref="H671:H672"/>
    <mergeCell ref="A767:B768"/>
    <mergeCell ref="A739:A742"/>
    <mergeCell ref="A766:B766"/>
    <mergeCell ref="B701:C704"/>
    <mergeCell ref="C819:C821"/>
    <mergeCell ref="A777:B777"/>
    <mergeCell ref="B752:C755"/>
    <mergeCell ref="A812:B812"/>
    <mergeCell ref="A790:B790"/>
    <mergeCell ref="H900:H901"/>
    <mergeCell ref="B746:C748"/>
    <mergeCell ref="B730:C735"/>
    <mergeCell ref="B715:C715"/>
    <mergeCell ref="B739:C742"/>
    <mergeCell ref="A772:B773"/>
    <mergeCell ref="A900:B900"/>
    <mergeCell ref="A887:B887"/>
    <mergeCell ref="H852:H853"/>
    <mergeCell ref="H838:H839"/>
    <mergeCell ref="H798:H799"/>
    <mergeCell ref="A139:C139"/>
    <mergeCell ref="A181:E181"/>
    <mergeCell ref="H678:H679"/>
    <mergeCell ref="A708:A712"/>
    <mergeCell ref="B708:C712"/>
    <mergeCell ref="B643:C646"/>
    <mergeCell ref="A643:A646"/>
    <mergeCell ref="B751:C751"/>
    <mergeCell ref="A498:C498"/>
    <mergeCell ref="A83:C83"/>
    <mergeCell ref="A120:C120"/>
    <mergeCell ref="A94:C94"/>
    <mergeCell ref="A248:E248"/>
    <mergeCell ref="A133:E133"/>
    <mergeCell ref="A183:C183"/>
    <mergeCell ref="A189:C189"/>
    <mergeCell ref="A168:E168"/>
    <mergeCell ref="A146:E146"/>
    <mergeCell ref="A207:C207"/>
    <mergeCell ref="A170:C170"/>
    <mergeCell ref="A1083:B1083"/>
    <mergeCell ref="A1148:B1148"/>
    <mergeCell ref="A838:B838"/>
    <mergeCell ref="A235:C235"/>
    <mergeCell ref="A997:E997"/>
    <mergeCell ref="A473:C473"/>
    <mergeCell ref="C1138:C1142"/>
    <mergeCell ref="B694:C694"/>
    <mergeCell ref="B671:C671"/>
    <mergeCell ref="B636:C639"/>
    <mergeCell ref="C949:D949"/>
    <mergeCell ref="C901:C902"/>
    <mergeCell ref="C948:D948"/>
    <mergeCell ref="A940:B940"/>
    <mergeCell ref="A948:B948"/>
    <mergeCell ref="A860:B860"/>
    <mergeCell ref="A945:B945"/>
    <mergeCell ref="C944:D944"/>
    <mergeCell ref="A894:B894"/>
    <mergeCell ref="C1055:C1062"/>
    <mergeCell ref="A1069:B1069"/>
    <mergeCell ref="C1066:C1067"/>
    <mergeCell ref="A1118:B1118"/>
    <mergeCell ref="A1053:B1053"/>
    <mergeCell ref="C1094:C1099"/>
    <mergeCell ref="A1092:B1092"/>
    <mergeCell ref="C1084:C1085"/>
    <mergeCell ref="A1073:B1073"/>
    <mergeCell ref="A1071:B1072"/>
    <mergeCell ref="A466:E466"/>
    <mergeCell ref="A633:C633"/>
    <mergeCell ref="C853:C857"/>
    <mergeCell ref="B729:C729"/>
    <mergeCell ref="C834:C835"/>
    <mergeCell ref="A228:E228"/>
    <mergeCell ref="A573:C573"/>
    <mergeCell ref="C847:C849"/>
    <mergeCell ref="A819:B821"/>
    <mergeCell ref="A824:B824"/>
    <mergeCell ref="H894:H895"/>
    <mergeCell ref="A924:B924"/>
    <mergeCell ref="A901:B902"/>
    <mergeCell ref="A1055:B1062"/>
    <mergeCell ref="C1163:C1166"/>
    <mergeCell ref="A1163:B1166"/>
    <mergeCell ref="A1162:B1162"/>
    <mergeCell ref="A949:B949"/>
    <mergeCell ref="C946:D946"/>
    <mergeCell ref="A1157:B1157"/>
    <mergeCell ref="A571:E571"/>
    <mergeCell ref="A1130:B1130"/>
    <mergeCell ref="A1128:B1128"/>
    <mergeCell ref="A1145:B1145"/>
    <mergeCell ref="C1170:C1174"/>
    <mergeCell ref="A1170:B1174"/>
    <mergeCell ref="A1168:B1168"/>
    <mergeCell ref="A1169:B1169"/>
    <mergeCell ref="A881:B884"/>
    <mergeCell ref="C786:C788"/>
    <mergeCell ref="A486:C486"/>
    <mergeCell ref="A1122:B1122"/>
    <mergeCell ref="A1146:B1146"/>
    <mergeCell ref="A354:C354"/>
    <mergeCell ref="A468:C468"/>
    <mergeCell ref="A830:B830"/>
    <mergeCell ref="A833:B833"/>
    <mergeCell ref="A701:A704"/>
    <mergeCell ref="B723:C726"/>
    <mergeCell ref="A771:B771"/>
    <mergeCell ref="C50:D50"/>
    <mergeCell ref="A381:C381"/>
    <mergeCell ref="A52:B52"/>
    <mergeCell ref="C52:D52"/>
    <mergeCell ref="A148:C148"/>
    <mergeCell ref="A364:C364"/>
    <mergeCell ref="A308:C308"/>
    <mergeCell ref="A361:C361"/>
    <mergeCell ref="A80:C80"/>
    <mergeCell ref="A110:C110"/>
    <mergeCell ref="A535:E535"/>
    <mergeCell ref="A872:B872"/>
    <mergeCell ref="C881:C884"/>
    <mergeCell ref="B685:C685"/>
    <mergeCell ref="A834:B835"/>
    <mergeCell ref="B700:C700"/>
    <mergeCell ref="A837:B837"/>
    <mergeCell ref="A836:B836"/>
    <mergeCell ref="A587:C587"/>
    <mergeCell ref="A595:E595"/>
    <mergeCell ref="C888:C891"/>
    <mergeCell ref="A1177:B1177"/>
    <mergeCell ref="A937:B937"/>
    <mergeCell ref="C1158:C1159"/>
    <mergeCell ref="A1161:B1161"/>
    <mergeCell ref="A1156:B1156"/>
    <mergeCell ref="A1158:B1159"/>
    <mergeCell ref="A1149:B1149"/>
    <mergeCell ref="A1131:B1134"/>
    <mergeCell ref="A1046:B1046"/>
    <mergeCell ref="C1208:C1210"/>
    <mergeCell ref="A1208:B1210"/>
    <mergeCell ref="H1207:H1208"/>
    <mergeCell ref="A106:C106"/>
    <mergeCell ref="A337:E337"/>
    <mergeCell ref="A339:C339"/>
    <mergeCell ref="A346:C346"/>
    <mergeCell ref="A359:E359"/>
    <mergeCell ref="C1188:C1190"/>
    <mergeCell ref="A730:A735"/>
    <mergeCell ref="A1188:B1190"/>
    <mergeCell ref="A608:C608"/>
    <mergeCell ref="A1206:B1206"/>
    <mergeCell ref="A1207:B1207"/>
    <mergeCell ref="B649:C649"/>
    <mergeCell ref="A853:B857"/>
    <mergeCell ref="C1076:C1080"/>
    <mergeCell ref="A1176:B1176"/>
    <mergeCell ref="A829:B829"/>
    <mergeCell ref="A929:B929"/>
    <mergeCell ref="H929:H930"/>
    <mergeCell ref="C55:D55"/>
    <mergeCell ref="A55:B55"/>
    <mergeCell ref="A615:C615"/>
    <mergeCell ref="A620:C620"/>
    <mergeCell ref="A628:C628"/>
    <mergeCell ref="A125:C125"/>
    <mergeCell ref="A601:C601"/>
    <mergeCell ref="A613:E613"/>
    <mergeCell ref="A874:B877"/>
    <mergeCell ref="H933:H934"/>
    <mergeCell ref="C23:D23"/>
    <mergeCell ref="A23:B23"/>
    <mergeCell ref="C24:D24"/>
    <mergeCell ref="A24:B24"/>
    <mergeCell ref="C914:C917"/>
    <mergeCell ref="A914:B917"/>
    <mergeCell ref="C25:D25"/>
    <mergeCell ref="A25:B25"/>
    <mergeCell ref="A930:B930"/>
  </mergeCells>
  <printOptions horizontalCentered="1"/>
  <pageMargins left="0.196850393700787" right="0.196850393700787" top="0.0393700787401575" bottom="0.236220472440945" header="0.31496062992126" footer="0.31496062992126"/>
  <pageSetup fitToHeight="0" fitToWidth="1" horizontalDpi="600" verticalDpi="600" orientation="portrait" paperSize="9" scale="25" r:id="rId1"/>
  <headerFooter alignWithMargins="0">
    <oddHeader>&amp;R&amp;P</oddHeader>
    <oddFooter>&amp;L&amp;14A.O. / Disposal&amp;C&amp;14Sr.XEN. / Disposal&amp;R&amp;14COS and D ( South), PTA</oddFooter>
  </headerFooter>
  <rowBreaks count="17" manualBreakCount="17">
    <brk id="69" max="255" man="1"/>
    <brk id="131" max="255" man="1"/>
    <brk id="188" max="255" man="1"/>
    <brk id="254" max="255" man="1"/>
    <brk id="311" max="255" man="1"/>
    <brk id="376" max="255" man="1"/>
    <brk id="435" max="255" man="1"/>
    <brk id="492" max="255" man="1"/>
    <brk id="551" max="255" man="1"/>
    <brk id="611" max="255" man="1"/>
    <brk id="682" max="255" man="1"/>
    <brk id="762" max="255" man="1"/>
    <brk id="843" max="255" man="1"/>
    <brk id="926" max="255" man="1"/>
    <brk id="1003" max="255" man="1"/>
    <brk id="1080" max="255" man="1"/>
    <brk id="11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93" zoomScaleSheetLayoutView="93" zoomScalePageLayoutView="0" workbookViewId="0" topLeftCell="A13">
      <selection activeCell="E26" sqref="E26"/>
    </sheetView>
  </sheetViews>
  <sheetFormatPr defaultColWidth="9.140625" defaultRowHeight="12.75"/>
  <cols>
    <col min="1" max="1" width="23.140625" style="0" customWidth="1"/>
    <col min="2" max="2" width="69.8515625" style="25" customWidth="1"/>
    <col min="3" max="3" width="24.8515625" style="0" customWidth="1"/>
    <col min="4" max="4" width="9.7109375" style="0" hidden="1" customWidth="1"/>
    <col min="5" max="5" width="119.7109375" style="0" customWidth="1"/>
  </cols>
  <sheetData>
    <row r="1" spans="1:3" ht="16.5">
      <c r="A1" s="424" t="s">
        <v>84</v>
      </c>
      <c r="B1" s="424"/>
      <c r="C1" s="424"/>
    </row>
    <row r="2" spans="1:2" ht="12.75">
      <c r="A2" s="30" t="str">
        <f>scrap!A2</f>
        <v>E - Auction Notice No. -</v>
      </c>
      <c r="B2" s="29" t="str">
        <f>scrap!D2</f>
        <v>EA-68 /PTA-2023-24</v>
      </c>
    </row>
    <row r="3" spans="1:2" ht="12.75">
      <c r="A3" s="30" t="str">
        <f>scrap!A3</f>
        <v>Date of Auction -</v>
      </c>
      <c r="B3" s="29" t="str">
        <f>scrap!D3</f>
        <v>6.02.2024</v>
      </c>
    </row>
    <row r="4" spans="1:2" ht="12.75">
      <c r="A4" s="30"/>
      <c r="B4" s="29"/>
    </row>
    <row r="5" spans="1:3" s="26" customFormat="1" ht="20.25" customHeight="1">
      <c r="A5" s="79" t="s">
        <v>5</v>
      </c>
      <c r="B5" s="155" t="s">
        <v>81</v>
      </c>
      <c r="C5" s="154" t="s">
        <v>82</v>
      </c>
    </row>
    <row r="6" spans="1:5" s="26" customFormat="1" ht="20.25" customHeight="1">
      <c r="A6" s="86" t="s">
        <v>642</v>
      </c>
      <c r="B6" s="106" t="s">
        <v>160</v>
      </c>
      <c r="C6" s="46">
        <v>343</v>
      </c>
      <c r="D6" s="248"/>
      <c r="E6" s="103" t="str">
        <f aca="true" t="shared" si="0" ref="E6:E13">CONCATENATE("E-Waste Scrap (Meter scrap), Lying at ",B6,". Quantity in Kg - ",C6,)</f>
        <v>E-Waste Scrap (Meter scrap), Lying at ME LAB PATIALA (Crushed Meter Scrap/E-Waste). Quantity in Kg - 343</v>
      </c>
    </row>
    <row r="7" spans="1:5" s="26" customFormat="1" ht="20.25" customHeight="1">
      <c r="A7" s="86" t="s">
        <v>273</v>
      </c>
      <c r="B7" s="106" t="s">
        <v>152</v>
      </c>
      <c r="C7" s="46">
        <v>1025</v>
      </c>
      <c r="D7" s="135"/>
      <c r="E7" s="103" t="str">
        <f t="shared" si="0"/>
        <v>E-Waste Scrap (Meter scrap), Lying at ME LAB SANGRUR (Crushed Meter Scrap/E-Waste). Quantity in Kg - 1025</v>
      </c>
    </row>
    <row r="8" spans="1:5" s="26" customFormat="1" ht="20.25" customHeight="1">
      <c r="A8" s="86" t="s">
        <v>274</v>
      </c>
      <c r="B8" s="254" t="s">
        <v>153</v>
      </c>
      <c r="C8" s="278">
        <v>181</v>
      </c>
      <c r="D8" s="135">
        <v>139</v>
      </c>
      <c r="E8" s="103" t="str">
        <f t="shared" si="0"/>
        <v>E-Waste Scrap (Meter scrap), Lying at ME LAB ROPAR (Crushed Meter Scrap/E-Waste). Quantity in Kg - 181</v>
      </c>
    </row>
    <row r="9" spans="1:5" s="26" customFormat="1" ht="20.25" customHeight="1">
      <c r="A9" s="86" t="s">
        <v>275</v>
      </c>
      <c r="B9" s="106" t="s">
        <v>271</v>
      </c>
      <c r="C9" s="46">
        <v>625.39</v>
      </c>
      <c r="D9" s="135"/>
      <c r="E9" s="103" t="str">
        <f t="shared" si="0"/>
        <v>E-Waste Scrap (Meter scrap), Lying at ME LAB MOGA (Crushed Meter Scrap/E-Waste). Quantity in Kg - 625.39</v>
      </c>
    </row>
    <row r="10" spans="1:5" s="26" customFormat="1" ht="20.25" customHeight="1">
      <c r="A10" s="86" t="s">
        <v>276</v>
      </c>
      <c r="B10" s="106" t="s">
        <v>272</v>
      </c>
      <c r="C10" s="46">
        <v>1364.12</v>
      </c>
      <c r="D10" s="135"/>
      <c r="E10" s="103" t="str">
        <f t="shared" si="0"/>
        <v>E-Waste Scrap (Meter scrap), Lying at ME LAB SHRI MUKTSAR SAHIB (Crushed Meter Scrap/E-Waste). Quantity in Kg - 1364.12</v>
      </c>
    </row>
    <row r="11" spans="1:5" s="26" customFormat="1" ht="20.25" customHeight="1">
      <c r="A11" s="86" t="s">
        <v>277</v>
      </c>
      <c r="B11" s="246" t="s">
        <v>410</v>
      </c>
      <c r="C11" s="247">
        <v>1800</v>
      </c>
      <c r="D11" s="135">
        <v>855</v>
      </c>
      <c r="E11" s="103" t="str">
        <f t="shared" si="0"/>
        <v>E-Waste Scrap (Meter scrap), Lying at ME LAB ROPAR  (Electronic Meter Scrap/E-Waste )  . Quantity in Kg - 1800</v>
      </c>
    </row>
    <row r="12" spans="1:5" s="26" customFormat="1" ht="20.25" customHeight="1">
      <c r="A12" s="86" t="s">
        <v>324</v>
      </c>
      <c r="B12" s="246" t="s">
        <v>421</v>
      </c>
      <c r="C12" s="247">
        <v>945.45</v>
      </c>
      <c r="D12" s="135">
        <v>795.45</v>
      </c>
      <c r="E12" s="103" t="str">
        <f t="shared" si="0"/>
        <v>E-Waste Scrap (Meter scrap), Lying at ME LAB BATHINDA  (Electronic Meter Scrap/E-Waste )  . Quantity in Kg - 945.45</v>
      </c>
    </row>
    <row r="13" spans="1:5" s="26" customFormat="1" ht="20.25" customHeight="1">
      <c r="A13" s="86" t="s">
        <v>406</v>
      </c>
      <c r="B13" s="246" t="s">
        <v>422</v>
      </c>
      <c r="C13" s="247">
        <v>1125.796</v>
      </c>
      <c r="D13" s="135">
        <v>905.796</v>
      </c>
      <c r="E13" s="103" t="str">
        <f t="shared" si="0"/>
        <v>E-Waste Scrap (Meter scrap), Lying at ME LAB MOGA (Electronic Meter Scrap/E-Waste )  . Quantity in Kg - 1125.796</v>
      </c>
    </row>
    <row r="14" spans="1:5" s="26" customFormat="1" ht="20.25" customHeight="1">
      <c r="A14" s="144"/>
      <c r="B14" s="85"/>
      <c r="C14" s="145"/>
      <c r="D14" s="146"/>
      <c r="E14" s="147"/>
    </row>
    <row r="15" spans="1:5" s="26" customFormat="1" ht="37.5" customHeight="1">
      <c r="A15" s="425" t="s">
        <v>381</v>
      </c>
      <c r="B15" s="425"/>
      <c r="C15" s="425"/>
      <c r="D15" s="148"/>
      <c r="E15" s="149"/>
    </row>
    <row r="16" spans="1:5" s="26" customFormat="1" ht="20.25" customHeight="1">
      <c r="A16" s="425"/>
      <c r="B16" s="425"/>
      <c r="C16" s="425"/>
      <c r="D16" s="149"/>
      <c r="E16" s="149"/>
    </row>
    <row r="17" spans="1:5" s="26" customFormat="1" ht="39.75" customHeight="1">
      <c r="A17" s="425"/>
      <c r="B17" s="425"/>
      <c r="C17" s="425"/>
      <c r="D17" s="146"/>
      <c r="E17" s="147"/>
    </row>
    <row r="18" spans="1:5" s="26" customFormat="1" ht="15" customHeight="1">
      <c r="A18" s="150"/>
      <c r="B18" s="153" t="s">
        <v>215</v>
      </c>
      <c r="C18" s="154" t="s">
        <v>380</v>
      </c>
      <c r="D18" s="146"/>
      <c r="E18" s="147"/>
    </row>
    <row r="19" spans="1:5" s="26" customFormat="1" ht="20.25" customHeight="1">
      <c r="A19" s="86" t="s">
        <v>407</v>
      </c>
      <c r="B19" s="108" t="s">
        <v>378</v>
      </c>
      <c r="C19" s="151">
        <v>1</v>
      </c>
      <c r="D19" s="135"/>
      <c r="E19" s="103" t="str">
        <f>CONCATENATE("E-Waste Scrap (U/S AC WINDOW), Lying at ",B19,". Quantity in No - ",C19,)</f>
        <v>E-Waste Scrap (U/S AC WINDOW), Lying at CS SANGRUR (U/S AC WINDOW). Quantity in No - 1</v>
      </c>
    </row>
    <row r="20" spans="1:5" s="26" customFormat="1" ht="20.25" customHeight="1">
      <c r="A20" s="86" t="s">
        <v>408</v>
      </c>
      <c r="B20" s="108" t="s">
        <v>379</v>
      </c>
      <c r="C20" s="151">
        <v>16</v>
      </c>
      <c r="D20" s="135"/>
      <c r="E20" s="103" t="str">
        <f>CONCATENATE("E-Waste Scrap (U/S AC WINDOW), Lying at ",B20,". Quantity in No - ",C20,)</f>
        <v>E-Waste Scrap (U/S AC WINDOW), Lying at CS PATIALA  (U/S AC WINDOW). Quantity in No - 16</v>
      </c>
    </row>
    <row r="21" spans="1:5" s="26" customFormat="1" ht="20.25" customHeight="1">
      <c r="A21" s="86" t="s">
        <v>423</v>
      </c>
      <c r="B21" s="108" t="s">
        <v>389</v>
      </c>
      <c r="C21" s="151">
        <v>19</v>
      </c>
      <c r="D21" s="135"/>
      <c r="E21" s="103" t="str">
        <f>CONCATENATE("E-Waste Scrap (U/S STABLIZERS), Lying at ",B21,". Quantity in No - ",C21,)</f>
        <v>E-Waste Scrap (U/S STABLIZERS), Lying at CS PATIALA  (U/S STABLIZERS). Quantity in No - 19</v>
      </c>
    </row>
    <row r="22" spans="1:5" s="26" customFormat="1" ht="20.25" customHeight="1">
      <c r="A22" s="86" t="s">
        <v>424</v>
      </c>
      <c r="B22" s="108" t="s">
        <v>640</v>
      </c>
      <c r="C22" s="151">
        <v>5</v>
      </c>
      <c r="D22" s="135"/>
      <c r="E22" s="103" t="str">
        <f>CONCATENATE("E-Waste Scrap (U/S AC SPLIT), Lying at ",B22,". Quantity in No - ",C22,)</f>
        <v>E-Waste Scrap (U/S AC SPLIT), Lying at CS PATIALA  (U/S AC SPLIT). Quantity in No - 5</v>
      </c>
    </row>
    <row r="23" spans="1:5" s="26" customFormat="1" ht="20.25" customHeight="1">
      <c r="A23" s="86" t="s">
        <v>709</v>
      </c>
      <c r="B23" s="246" t="s">
        <v>708</v>
      </c>
      <c r="C23" s="319">
        <v>1</v>
      </c>
      <c r="D23" s="146"/>
      <c r="E23" s="103" t="str">
        <f>CONCATENATE("E-Waste Scrap (U/S AC WINDOW), Lying at ",B23,". Quantity in No - ",C23,)</f>
        <v>E-Waste Scrap (U/S AC WINDOW), Lying at CS KOTKAPURA (U/S AC WINDOW). Quantity in No - 1</v>
      </c>
    </row>
    <row r="24" spans="1:5" s="26" customFormat="1" ht="20.25" customHeight="1">
      <c r="A24" s="144"/>
      <c r="B24" s="157"/>
      <c r="C24" s="156"/>
      <c r="D24" s="146"/>
      <c r="E24" s="147"/>
    </row>
    <row r="25" spans="1:3" s="26" customFormat="1" ht="15" customHeight="1">
      <c r="A25" s="36"/>
      <c r="B25" s="37"/>
      <c r="C25" s="85"/>
    </row>
    <row r="26" spans="1:3" s="26" customFormat="1" ht="15">
      <c r="A26" s="31" t="s">
        <v>83</v>
      </c>
      <c r="B26" s="32" t="s">
        <v>87</v>
      </c>
      <c r="C26" s="33" t="s">
        <v>86</v>
      </c>
    </row>
    <row r="27" spans="1:3" s="26" customFormat="1" ht="15">
      <c r="A27" s="31" t="s">
        <v>85</v>
      </c>
      <c r="B27" s="31" t="s">
        <v>85</v>
      </c>
      <c r="C27" s="31" t="s">
        <v>85</v>
      </c>
    </row>
    <row r="28" spans="1:3" s="26" customFormat="1" ht="13.5">
      <c r="A28" s="27"/>
      <c r="B28" s="28"/>
      <c r="C28" s="27"/>
    </row>
  </sheetData>
  <sheetProtection/>
  <mergeCells count="2">
    <mergeCell ref="A1:C1"/>
    <mergeCell ref="A15:C1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Rajiv</dc:creator>
  <cp:keywords/>
  <dc:description/>
  <cp:lastModifiedBy>Sukhvinder Singh</cp:lastModifiedBy>
  <cp:lastPrinted>2024-02-03T11:38:25Z</cp:lastPrinted>
  <dcterms:created xsi:type="dcterms:W3CDTF">1996-10-14T23:33:28Z</dcterms:created>
  <dcterms:modified xsi:type="dcterms:W3CDTF">2024-02-03T18:30:29Z</dcterms:modified>
  <cp:category/>
  <cp:version/>
  <cp:contentType/>
  <cp:contentStatus/>
</cp:coreProperties>
</file>