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15" tabRatio="911" activeTab="0"/>
  </bookViews>
  <sheets>
    <sheet name="scrap" sheetId="1" r:id="rId1"/>
    <sheet name="E-WASTE" sheetId="2" r:id="rId2"/>
  </sheets>
  <definedNames>
    <definedName name="_xlnm.Print_Area" localSheetId="0">'scrap'!$A$1:$E$571</definedName>
  </definedNames>
  <calcPr fullCalcOnLoad="1"/>
</workbook>
</file>

<file path=xl/sharedStrings.xml><?xml version="1.0" encoding="utf-8"?>
<sst xmlns="http://schemas.openxmlformats.org/spreadsheetml/2006/main" count="941" uniqueCount="374">
  <si>
    <t>A - Aluminium Conductor Steel Reinforced Scrap</t>
  </si>
  <si>
    <t>Registration no. of Vehicle</t>
  </si>
  <si>
    <t>Type of vehicle/ Model</t>
  </si>
  <si>
    <t>Present Location of vehicle</t>
  </si>
  <si>
    <t>Name of the office to which it relates/ Phone no. of the person to be contacted.</t>
  </si>
  <si>
    <t>Lot No.</t>
  </si>
  <si>
    <t>Name of Store where material is lying</t>
  </si>
  <si>
    <t>Quantity in MT</t>
  </si>
  <si>
    <t>I) Misc. items scrap lying as per detail given:-</t>
  </si>
  <si>
    <t>E - Auction Notice No. -</t>
  </si>
  <si>
    <t>Date of Auction -</t>
  </si>
  <si>
    <t>H- Damaged Distribution Transformer's HT/LT Aluminium coils scrap with insulation</t>
  </si>
  <si>
    <t>B)- Damaged Distribution Transformer's HT/LT Aluminium coils scrap with insulation</t>
  </si>
  <si>
    <t>E)  Miscellaneous Iron scrap</t>
  </si>
  <si>
    <t>G.Total</t>
  </si>
  <si>
    <t>K- Damaged Distribution Transformer's HT/LT Aluminium coils scrap with insulation</t>
  </si>
  <si>
    <t>J) Aluminium Conductor Steel Reinforced Scrap</t>
  </si>
  <si>
    <t xml:space="preserve">Name of Store </t>
  </si>
  <si>
    <t>Description of material</t>
  </si>
  <si>
    <t>Pilot W/Shop Sri Muktsar Sahib</t>
  </si>
  <si>
    <t>MS iron scrap / GI scrap</t>
  </si>
  <si>
    <t>Lot no. E - 1</t>
  </si>
  <si>
    <t xml:space="preserve">D) Misc.  Cable scrap </t>
  </si>
  <si>
    <t>Brass scrap</t>
  </si>
  <si>
    <t>Misc. Aluminium scrap</t>
  </si>
  <si>
    <t xml:space="preserve"> Q  Miscellaneous Healthy parts/ Non ferrous scrap material</t>
  </si>
  <si>
    <t>Lot no. Q-3</t>
  </si>
  <si>
    <t>Iron scrap</t>
  </si>
  <si>
    <t>TRY Malerkotla</t>
  </si>
  <si>
    <t>MS iron scrap</t>
  </si>
  <si>
    <t>Lot no. E - 2</t>
  </si>
  <si>
    <t>Misc. Alumn. Scrap</t>
  </si>
  <si>
    <t>All Alumn. Conductor Scrap</t>
  </si>
  <si>
    <t>Lot no. E - 3</t>
  </si>
  <si>
    <t>Lot no. Q-1</t>
  </si>
  <si>
    <t>Lot no. D-1</t>
  </si>
  <si>
    <t>TRY Bathinda</t>
  </si>
  <si>
    <t>Burnt Cu scrap</t>
  </si>
  <si>
    <t>Lot no. Q-4</t>
  </si>
  <si>
    <t>Lot no. Q-6</t>
  </si>
  <si>
    <t>Lot no. Q-7</t>
  </si>
  <si>
    <t>Burnt Aluminium scrap</t>
  </si>
  <si>
    <t>TRY Ferozepur</t>
  </si>
  <si>
    <t>CS Kotkapura</t>
  </si>
  <si>
    <t>Lot no. Q-10</t>
  </si>
  <si>
    <t>Misc. Copper scrap</t>
  </si>
  <si>
    <t>OL store Ropar</t>
  </si>
  <si>
    <t>Burnt copper scrap</t>
  </si>
  <si>
    <t>Lot no. Q-5</t>
  </si>
  <si>
    <t>L)  Condemned/obsolete Vehicles * (Without RC )</t>
  </si>
  <si>
    <t xml:space="preserve">M-LOT -  Three phase Copper/ Aluminium and single phase copper/ Alu wound Damaged Distribution Transformers As Per Actual Site Condition </t>
  </si>
  <si>
    <t>Lot no. E - 4</t>
  </si>
  <si>
    <t>Lot no. Q-9</t>
  </si>
  <si>
    <t>CS Patiala</t>
  </si>
  <si>
    <t>Lot no. Q-11</t>
  </si>
  <si>
    <t>Pilot Workshop Mohali</t>
  </si>
  <si>
    <t>HT Wire scrap &amp; other intermingled iron scrap</t>
  </si>
  <si>
    <t>MS iron scrap ( MS sections, scrapped T&amp;P etc)</t>
  </si>
  <si>
    <t>S &amp; T Store Bathinda</t>
  </si>
  <si>
    <t>Nuts &amp; Bolts scrap</t>
  </si>
  <si>
    <t>OL Mansa</t>
  </si>
  <si>
    <t>Transformer body scrap</t>
  </si>
  <si>
    <t>MS Rail scrap</t>
  </si>
  <si>
    <t>CS Mohali</t>
  </si>
  <si>
    <t>CS Bathinda</t>
  </si>
  <si>
    <t>Teen Patra scrap</t>
  </si>
  <si>
    <t>Lot no. E - 5</t>
  </si>
  <si>
    <t>Lot no. E - 6</t>
  </si>
  <si>
    <t>Lot no. E - 7</t>
  </si>
  <si>
    <t>Lot no. E - 8</t>
  </si>
  <si>
    <t>Quantity in No</t>
  </si>
  <si>
    <t>Disc Insulator Scrap</t>
  </si>
  <si>
    <t>HT wire scrap off size</t>
  </si>
  <si>
    <t>Controller of Stores &amp; Disposal (South), PSPCL, Patiala</t>
  </si>
  <si>
    <t>Lot No B-1</t>
  </si>
  <si>
    <t>Lot No A-1</t>
  </si>
  <si>
    <t xml:space="preserve"> Iron scrap</t>
  </si>
  <si>
    <t>Quantity No</t>
  </si>
  <si>
    <t>CT/PT Units</t>
  </si>
  <si>
    <t>Lot no. I-1</t>
  </si>
  <si>
    <t>CS Sangrur</t>
  </si>
  <si>
    <t>Lot no. Q-8</t>
  </si>
  <si>
    <t>E-Waste Scrap(Meter Scrap) lying at</t>
  </si>
  <si>
    <t>Quantity ( in Kg.)</t>
  </si>
  <si>
    <t>A.O/Disposal</t>
  </si>
  <si>
    <r>
      <t xml:space="preserve">PUNJAB STATE POWER CORPORATION LIMITED  </t>
    </r>
    <r>
      <rPr>
        <b/>
        <sz val="11"/>
        <color indexed="8"/>
        <rFont val="Comic Sans MS"/>
        <family val="4"/>
      </rPr>
      <t xml:space="preserve">         </t>
    </r>
  </si>
  <si>
    <t>Patiala</t>
  </si>
  <si>
    <t>COS&amp;D(South)</t>
  </si>
  <si>
    <t>Sr Xen/Disposal</t>
  </si>
  <si>
    <t>PB-11 AH-0925</t>
  </si>
  <si>
    <t>SHAKTI VIHAR SHEDS PSPCL PATIALA</t>
  </si>
  <si>
    <t>2/core PVC Alumn. Cable scrap</t>
  </si>
  <si>
    <t>4/core PVC Alumn. Cable scrap</t>
  </si>
  <si>
    <t>3/ core XLPE Alu cable scrap</t>
  </si>
  <si>
    <t>Lot no. D-2</t>
  </si>
  <si>
    <t>Lot no. D-3</t>
  </si>
  <si>
    <t>CS Malout</t>
  </si>
  <si>
    <t>Lot no. D-4</t>
  </si>
  <si>
    <t>1/ core XLPE Alu cable scrap</t>
  </si>
  <si>
    <t>OL Ropar</t>
  </si>
  <si>
    <t>CS Ferozepur</t>
  </si>
  <si>
    <t>OL Bhagta Bhai Ka</t>
  </si>
  <si>
    <t>OL store Patran</t>
  </si>
  <si>
    <t>OL Patran</t>
  </si>
  <si>
    <t>OL store Nabha</t>
  </si>
  <si>
    <t>OL Rajpura</t>
  </si>
  <si>
    <t>OL Nabha</t>
  </si>
  <si>
    <t>HONDA CIVIC CAR (PETROL) 2008</t>
  </si>
  <si>
    <t xml:space="preserve">NOTE : Before lifting of Transformers (From Lot no. ), HT/LT copper winding coils of transformers shall be mutilated by the purchaser. </t>
  </si>
  <si>
    <t xml:space="preserve">C -  Three phase Copper/ Aluminium and single phase copper/ Aluminium wound Damaged Distribution Transformers As Per Actual Site Condition </t>
  </si>
  <si>
    <t>Central Store Kotkapura</t>
  </si>
  <si>
    <t>L-1</t>
  </si>
  <si>
    <t>Lot no. Q-2</t>
  </si>
  <si>
    <t>Misc. copper scrap</t>
  </si>
  <si>
    <t>OL Fazilka</t>
  </si>
  <si>
    <t>G.TOTAL</t>
  </si>
  <si>
    <t>Lot No A-2</t>
  </si>
  <si>
    <t>Lot no. Q-12</t>
  </si>
  <si>
    <t>OL store Malerkotla</t>
  </si>
  <si>
    <t>Lot no. Q-13</t>
  </si>
  <si>
    <t>Lot no. Q-14</t>
  </si>
  <si>
    <t>Lot no. E - 10</t>
  </si>
  <si>
    <t>TRY Patiala</t>
  </si>
  <si>
    <t>Lot no. I-2</t>
  </si>
  <si>
    <t>Lot No B-2</t>
  </si>
  <si>
    <t>Lot No B-3</t>
  </si>
  <si>
    <t>Lot no. G - 1</t>
  </si>
  <si>
    <t>Lot no. Q-15</t>
  </si>
  <si>
    <t>OL Malerkotla</t>
  </si>
  <si>
    <t>Lot no. G - 2</t>
  </si>
  <si>
    <t>Lot no. G - 3</t>
  </si>
  <si>
    <t>Lot no. G - 4</t>
  </si>
  <si>
    <t>Lot no. G - 5</t>
  </si>
  <si>
    <t>TRY Bhagta Bhai Ka</t>
  </si>
  <si>
    <t>Lot no. Q-16</t>
  </si>
  <si>
    <t>Lot no. Q-17</t>
  </si>
  <si>
    <t>TRY Sangrur</t>
  </si>
  <si>
    <t>TRY Patran</t>
  </si>
  <si>
    <t>Lot no. Q-18</t>
  </si>
  <si>
    <t>Earthwire GSL scrap</t>
  </si>
  <si>
    <t>TRY Ropar</t>
  </si>
  <si>
    <t>Outlet store Shri Muktsar sahib</t>
  </si>
  <si>
    <t>OL Shri Muktsar Sahib</t>
  </si>
  <si>
    <t>Ms Nuts &amp; Bolts</t>
  </si>
  <si>
    <t>PB-05 F-9520</t>
  </si>
  <si>
    <t>MINI TRUCK EICHER DIESEL (1999)</t>
  </si>
  <si>
    <t>DS S/D MAMDOT S/D FEROZEPUR</t>
  </si>
  <si>
    <t>L-2</t>
  </si>
  <si>
    <t>ME LAB SANGRUR (Crushed Meter Scrap/E-Waste)</t>
  </si>
  <si>
    <t>ME LAB ROPAR (Crushed Meter Scrap/E-Waste)</t>
  </si>
  <si>
    <t>L-3</t>
  </si>
  <si>
    <t>PB-03 N-5547</t>
  </si>
  <si>
    <t>AMBASSADOR CAR DIESEL (2005)</t>
  </si>
  <si>
    <t>DS DIVISION BADAL</t>
  </si>
  <si>
    <t xml:space="preserve">ME LAB PATIALA  (Electronic Meter Scrap/E-Waste )  </t>
  </si>
  <si>
    <t xml:space="preserve">ME LAB ROPAR  (Electronic Meter Scrap/E-Waste )  </t>
  </si>
  <si>
    <t>OL Shri Muktsar sahib</t>
  </si>
  <si>
    <t>Lot No B-5</t>
  </si>
  <si>
    <t>Central Store Patiala</t>
  </si>
  <si>
    <t>Lot No. I-8</t>
  </si>
  <si>
    <t>ME LAB PATIALA (Crushed Meter Scrap/E-Waste)</t>
  </si>
  <si>
    <t>Lot No. I-9</t>
  </si>
  <si>
    <t>Lot No A-3</t>
  </si>
  <si>
    <t>Lot No A-5</t>
  </si>
  <si>
    <t>Lot No A-7</t>
  </si>
  <si>
    <t>TRY Malout</t>
  </si>
  <si>
    <t>Lot No B-8</t>
  </si>
  <si>
    <t>TRY Mansa</t>
  </si>
  <si>
    <t>Lot no. D-7</t>
  </si>
  <si>
    <t>ABC cable scrap (70/95 mm)</t>
  </si>
  <si>
    <t>Lot no. D-8</t>
  </si>
  <si>
    <t>Lot no. D-9</t>
  </si>
  <si>
    <t>1/core PVC Alumn. Cable scrap</t>
  </si>
  <si>
    <t>Lot no. D-10</t>
  </si>
  <si>
    <t>Lot no. D-11</t>
  </si>
  <si>
    <t>Lot no. D-12</t>
  </si>
  <si>
    <t>Lot no. E - 9</t>
  </si>
  <si>
    <t>Lot No A-4</t>
  </si>
  <si>
    <t>Outlet store Malerkotla</t>
  </si>
  <si>
    <t>Lot No A-6</t>
  </si>
  <si>
    <t>Outlet store Patran</t>
  </si>
  <si>
    <t>Lot No A-9</t>
  </si>
  <si>
    <t>Lot No A-10</t>
  </si>
  <si>
    <t>Outlet store Ropar</t>
  </si>
  <si>
    <t>Outlet store Mansa</t>
  </si>
  <si>
    <t>Lot No B-6</t>
  </si>
  <si>
    <t>Lead seal scrap with lash wire</t>
  </si>
  <si>
    <t>Lot no. D-5</t>
  </si>
  <si>
    <t>OL Barnala</t>
  </si>
  <si>
    <t>Lot no. D-6</t>
  </si>
  <si>
    <t>G.I. scrap</t>
  </si>
  <si>
    <t>Lot no. Q-23</t>
  </si>
  <si>
    <t>Lot no. Q-24</t>
  </si>
  <si>
    <t>Lot no. Q-19</t>
  </si>
  <si>
    <t>Lot no. I-3</t>
  </si>
  <si>
    <t>G.I. Scrap</t>
  </si>
  <si>
    <t>M.S. Nuts &amp; Bolts Scrap</t>
  </si>
  <si>
    <t>Lot no. E - 11</t>
  </si>
  <si>
    <t>CS Kotkapura  (.237 MT Intermingle)</t>
  </si>
  <si>
    <t>Lot No A-8</t>
  </si>
  <si>
    <t>Lot no. Q-20</t>
  </si>
  <si>
    <t>Lot No A-11</t>
  </si>
  <si>
    <t>Lot No B-4</t>
  </si>
  <si>
    <t>Lot no. I-4</t>
  </si>
  <si>
    <t>Lot No. I-7</t>
  </si>
  <si>
    <t>Lot no. E - 12</t>
  </si>
  <si>
    <t>MS Angle/ Channel Scrap</t>
  </si>
  <si>
    <t>Central Store Sangrur</t>
  </si>
  <si>
    <t>Lot no. Q-21</t>
  </si>
  <si>
    <t>Lot no. D-14</t>
  </si>
  <si>
    <t xml:space="preserve">S.Report No. </t>
  </si>
  <si>
    <t xml:space="preserve">No of T/Fs </t>
  </si>
  <si>
    <t>Cap. in KVA</t>
  </si>
  <si>
    <t>Description</t>
  </si>
  <si>
    <t>Indicative Design Wt. of Core &amp; Winding (KG)</t>
  </si>
  <si>
    <t>Three Phase Aluminium Wound T/F</t>
  </si>
  <si>
    <t xml:space="preserve">10 KVA </t>
  </si>
  <si>
    <t>WNP =27 (unstandard tf's)</t>
  </si>
  <si>
    <t>WNP =25 (unstandard tf's)</t>
  </si>
  <si>
    <t>WNP =14 (unstandard tf's)</t>
  </si>
  <si>
    <t>TRY Moga</t>
  </si>
  <si>
    <t>GI wire /GSL scrap</t>
  </si>
  <si>
    <t>Three Phase Copper Wound T/F</t>
  </si>
  <si>
    <t>6.3 KVA</t>
  </si>
  <si>
    <t>10 KVA</t>
  </si>
  <si>
    <t>WNP-25 (unstandard tf's)</t>
  </si>
  <si>
    <t>WNP-18 (unstandard tf's)</t>
  </si>
  <si>
    <t>16 KVA</t>
  </si>
  <si>
    <t>Single Phase Copper Wound T/F</t>
  </si>
  <si>
    <t>Single Phase Aluminium Wound T/F</t>
  </si>
  <si>
    <t>Outlet store Nabha</t>
  </si>
  <si>
    <t>Outlet store Rajpura</t>
  </si>
  <si>
    <t>CS Patiala (.013 MT Intermingle)</t>
  </si>
  <si>
    <t>25 KVA</t>
  </si>
  <si>
    <r>
      <t xml:space="preserve">Following Scrap Material is Offered for On-Line Forward E-Auction at the above mentioned date as per the prevailing PSPCL's Terms &amp; Conditions of the E-Auction Sale ( available on PSPCL web site www.pspcl.in) on </t>
    </r>
    <r>
      <rPr>
        <b/>
        <sz val="12"/>
        <rFont val="Arial"/>
        <family val="2"/>
      </rPr>
      <t>"As - Is - Where - Is " basis.</t>
    </r>
  </si>
  <si>
    <t>Lot no. Q-22</t>
  </si>
  <si>
    <t>Lot no. Q-25</t>
  </si>
  <si>
    <t xml:space="preserve">6.3 KVA </t>
  </si>
  <si>
    <t xml:space="preserve">16 KVA </t>
  </si>
  <si>
    <t>WNP-1  (unstandard tf's)</t>
  </si>
  <si>
    <t>WNP-1 (unstandard tf's)</t>
  </si>
  <si>
    <t>WNP-3 (unstandard tf's)</t>
  </si>
  <si>
    <t>63 KVA</t>
  </si>
  <si>
    <t>NEW</t>
  </si>
  <si>
    <r>
      <t xml:space="preserve">Lot No. C 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</si>
  <si>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Lot no. D-13</t>
  </si>
  <si>
    <t>100 KVA</t>
  </si>
  <si>
    <t xml:space="preserve"> WNP=1 (unstandard tf's)</t>
  </si>
  <si>
    <t>ABC cable scrap (150 mm)</t>
  </si>
  <si>
    <t>TRY Kotkapura</t>
  </si>
  <si>
    <t>Lot No B-7</t>
  </si>
  <si>
    <t>Lot no. Q-26</t>
  </si>
  <si>
    <t>Lot No B-9</t>
  </si>
  <si>
    <t>Lot no. D-15</t>
  </si>
  <si>
    <t>Lot no. D-16</t>
  </si>
  <si>
    <t xml:space="preserve"> </t>
  </si>
  <si>
    <t>…. CE/ TA &amp; I PSPCL PATIALA 96461-19587</t>
  </si>
  <si>
    <t>….. DS S/D MAMDOT PSPCL FEROZEPUR MOB 9646114589</t>
  </si>
  <si>
    <t>….. DS DIVISION BADAL 96461-14534</t>
  </si>
  <si>
    <t>STAR-1, STAR/TA=01,STAR/JB-1, ,JAY BEE=2,SONI=01,DURGA/JB=01, DURGA/SIC-1,NUCON=1,MUBASA/JB=01,SVASCA=01,SWASTIK/HR POWER-1, SWASTIK/JB-2,,LIBERTY/KB=01,SIC/JB=01,SARAF/ELECTRA=01,DM/PME=01,TA=01,TMR/PME=01</t>
  </si>
  <si>
    <t>WNP-27 (unstandard tf's)</t>
  </si>
  <si>
    <t>WNP-26 (unstandard tf's)</t>
  </si>
  <si>
    <t>WNP-30 (unstandard tf's)</t>
  </si>
  <si>
    <r>
      <t xml:space="preserve">Lot No. C 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MALOUT</t>
    </r>
  </si>
  <si>
    <r>
      <t xml:space="preserve">Lot No. C 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</si>
  <si>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t>200 KVA</t>
  </si>
  <si>
    <t>PTEL-1</t>
  </si>
  <si>
    <t>Outlet store Fazilka</t>
  </si>
  <si>
    <t>Lot No B-10</t>
  </si>
  <si>
    <t>Lot No B-11</t>
  </si>
  <si>
    <t>Lot no. D17</t>
  </si>
  <si>
    <t>Lot no. Q-27</t>
  </si>
  <si>
    <t>Lot No A-12</t>
  </si>
  <si>
    <t>Lot no. D18</t>
  </si>
  <si>
    <t>OL Moga</t>
  </si>
  <si>
    <t>Lot no. Q-28</t>
  </si>
  <si>
    <t>ME LAB MOGA (Crushed Meter Scrap/E-Waste)</t>
  </si>
  <si>
    <t>ME LAB SHRI MUKTSAR SAHIB (Crushed Meter Scrap/E-Waste)</t>
  </si>
  <si>
    <t>Lot No. I-10</t>
  </si>
  <si>
    <t>Lot No. I-11</t>
  </si>
  <si>
    <t>Lot No. I-12</t>
  </si>
  <si>
    <t>Lot No. I-13</t>
  </si>
  <si>
    <t>Lot No. I-14</t>
  </si>
  <si>
    <t>Lot no. I-5</t>
  </si>
  <si>
    <t>Empty steel drums (cap.209 ltr.)</t>
  </si>
  <si>
    <t xml:space="preserve">ME LAB SANGRUR  (Electronic Meter Scrap/E-Waste )  </t>
  </si>
  <si>
    <t>50/2023</t>
  </si>
  <si>
    <t>SKYWAY-3, PP-1,JB-1, NUCON-1, ARDI-1</t>
  </si>
  <si>
    <t>51/2023</t>
  </si>
  <si>
    <t>JB-1, UP T/F-1, SICL-1, TA-1</t>
  </si>
  <si>
    <t>TA-1</t>
  </si>
  <si>
    <t>52/2023</t>
  </si>
  <si>
    <t>53/2023</t>
  </si>
  <si>
    <t>SARAF 1, NUCON 3, JR 1, PTEL 1, TA 3, SICL 2</t>
  </si>
  <si>
    <t>AGARWAL 1, JR 4, UTTAM 1, TA 1, NPC 1, STAR 1, JM 1, PP 1,</t>
  </si>
  <si>
    <t>JR 1, JB 1</t>
  </si>
  <si>
    <t>ARD 2, JB 2, ECO 1, SICL 2, PTEL 1, JBK 1</t>
  </si>
  <si>
    <t>SR IMPEX 1, UP 1,</t>
  </si>
  <si>
    <t>JB 1, PP 1, TA 1</t>
  </si>
  <si>
    <t>ELE 1</t>
  </si>
  <si>
    <t>VIJAI 1, SICL 1</t>
  </si>
  <si>
    <t>63 KVA (amorphous core)</t>
  </si>
  <si>
    <t>NPC-1 (amorphous core)</t>
  </si>
  <si>
    <t>GEES -1</t>
  </si>
  <si>
    <t xml:space="preserve"> JBB=1 (unstandard tf's)</t>
  </si>
  <si>
    <t>144/2023</t>
  </si>
  <si>
    <t>145/2023</t>
  </si>
  <si>
    <t>146/2023</t>
  </si>
  <si>
    <t>147/2023</t>
  </si>
  <si>
    <t>149/2023</t>
  </si>
  <si>
    <t>150/2023</t>
  </si>
  <si>
    <t>151/2023</t>
  </si>
  <si>
    <t>152/2023</t>
  </si>
  <si>
    <t>153/2023</t>
  </si>
  <si>
    <t>154/2023</t>
  </si>
  <si>
    <t>148/2023</t>
  </si>
  <si>
    <t>G)  Wooden scrap (without iron parts) lying as per detail given below:-</t>
  </si>
  <si>
    <t>CS Mohali (.314 MT intermingle)</t>
  </si>
  <si>
    <t>Lot No A-13</t>
  </si>
  <si>
    <t>PP-1, SICL-1, MCPL-1</t>
  </si>
  <si>
    <t>SARAF-1, SICL-2, PP-1, NUCON-1,DURA-2, SHIVALIK-3</t>
  </si>
  <si>
    <t>WNP-8  (unstandard tf's)</t>
  </si>
  <si>
    <t>HITECH=2,JM=2,JR=4,MS=2,NUCON=3,PP=3,PTEL=3,PTEL/PME=1,SARAF=2,SUSHIL=1,SICL=2</t>
  </si>
  <si>
    <t>AMSON=1,DURABLE=1,HR=5,JM=1,JR=5,MS=2,PTEL=3,SICL=1,TA=6</t>
  </si>
  <si>
    <t>AGGARWAL=2,HITECH=1,HR=4,JM=1,JR=3,NUCON=3,PTEL=2,SICL=1,SUSHIL=1,TA=2</t>
  </si>
  <si>
    <t>ARD=2,HR=2,JB=2,AJAY=1,NV=8,MS=6,NPC=3,PP=1(unstandard tf's)</t>
  </si>
  <si>
    <t>ARD=1,HR=3,JB=2,JB/NV=3,MS=3,NUCON=2 (unstandard tf's)</t>
  </si>
  <si>
    <t>JB/NV=2 (unstandard tf's)</t>
  </si>
  <si>
    <t>KISAN=2 (unstandard tf's)</t>
  </si>
  <si>
    <t>JB=1,JB/NV=1,MS=2,()unstandard tf's)</t>
  </si>
  <si>
    <t>ARD=1,DURABLE=2,JM=1,JR=6,MS=3,NUCON=4,PP=4,SARAF=2,SHIVA=1,TA=1</t>
  </si>
  <si>
    <t>MS Nuts &amp; bolts scrap</t>
  </si>
  <si>
    <t>Outlet store Bhagta Bhai Ka</t>
  </si>
  <si>
    <t>Central Store Bathinda</t>
  </si>
  <si>
    <t>Lot no. I-6</t>
  </si>
  <si>
    <r>
      <t xml:space="preserve">Lot No. C 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</si>
  <si>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r>
      <t xml:space="preserve">Lot No. C 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</si>
  <si>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r>
      <t xml:space="preserve">Lot No. C 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</si>
  <si>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t>DAUSA - 1, PTEL - 1, SIC-1</t>
  </si>
  <si>
    <t>SARAF - 2, PP - 1</t>
  </si>
  <si>
    <t>WNP-14 (unstandard tf's)</t>
  </si>
  <si>
    <t>WNP-7 (unstandard tf's)</t>
  </si>
  <si>
    <t>EA-54 /PTA-2023-24</t>
  </si>
  <si>
    <t>29.11.2023</t>
  </si>
  <si>
    <t>Lot no. E -13</t>
  </si>
  <si>
    <t>NPC-1,PTEL-2,JB-1</t>
  </si>
  <si>
    <t>SUSHIL-1,SIC-1</t>
  </si>
  <si>
    <t>PPI-1,NSL-1</t>
  </si>
  <si>
    <t>JB-3,ECN-1,PTEL-1,ARD-1,NPC-1</t>
  </si>
  <si>
    <t>ELECTRA-1,SCN-1</t>
  </si>
  <si>
    <t>TA-2</t>
  </si>
  <si>
    <t>HBP-2,JB-1</t>
  </si>
  <si>
    <t>200 KVA (CORE &amp; TANK)</t>
  </si>
  <si>
    <t xml:space="preserve">DTB-7,NPC-1 </t>
  </si>
  <si>
    <t>300 KVA (CORE &amp; TANK)</t>
  </si>
  <si>
    <t>MRN-1</t>
  </si>
  <si>
    <t>SHIVALIK-1</t>
  </si>
  <si>
    <t>SICL-1, AGGARWAL-1, SHIVALIK-4</t>
  </si>
  <si>
    <t>JB-1</t>
  </si>
  <si>
    <t>WNP-10  (unstandard tf's)</t>
  </si>
  <si>
    <t>WNP-5 (unstandard tf's)</t>
  </si>
  <si>
    <t>WNP-2 (unstandard tf's)</t>
  </si>
  <si>
    <t>SICL-3, PTEL-2, PP-1, JB-1, ECO-1, NBGL-1, NUCON-1, SHIVALIK-11</t>
  </si>
  <si>
    <r>
      <t xml:space="preserve">Lot No. C 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ROPAR</t>
    </r>
  </si>
  <si>
    <r>
      <t xml:space="preserve">Lot No. C 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</si>
  <si>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t xml:space="preserve">NOTE : Before lifting of Transformers (From Lot no. C-1 to C-8), HT/LT copper winding coils of transformers shall be mutilated by the purchaser. </t>
  </si>
  <si>
    <t>MINI TRUCK TATA DIESEL (1995)</t>
  </si>
  <si>
    <t>SUB URBAN  DS KOTKAPURA 96461-14931</t>
  </si>
  <si>
    <t>L-4</t>
  </si>
  <si>
    <t>PB-04 E-9807</t>
  </si>
  <si>
    <t>L-5</t>
  </si>
  <si>
    <t>PB-03 A- 3324</t>
  </si>
  <si>
    <t>MINI TRUCK DIESEL (1990) (Mahindra Jeep )</t>
  </si>
  <si>
    <t>DS Sub Division, Sub urban Kotkapura</t>
  </si>
</sst>
</file>

<file path=xl/styles.xml><?xml version="1.0" encoding="utf-8"?>
<styleSheet xmlns="http://schemas.openxmlformats.org/spreadsheetml/2006/main">
  <numFmts count="44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00"/>
    <numFmt numFmtId="191" formatCode="0.0"/>
    <numFmt numFmtId="192" formatCode="0.000"/>
    <numFmt numFmtId="193" formatCode="0.0000"/>
    <numFmt numFmtId="194" formatCode="0.00000"/>
    <numFmt numFmtId="195" formatCode="[$-409]dddd\,\ mmmm\ dd\,\ yyyy"/>
    <numFmt numFmtId="196" formatCode="[$-409]h:mm:ss\ am/pm"/>
    <numFmt numFmtId="197" formatCode="[$-4009]dd\ mmmm\ yyyy"/>
    <numFmt numFmtId="198" formatCode="[$-F800]dddd\,\ mmmm\ dd\,\ yyyy"/>
    <numFmt numFmtId="199" formatCode="dd/mm/yyyy"/>
  </numFmts>
  <fonts count="8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omic Sans MS"/>
      <family val="4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36"/>
      <name val="Arial"/>
      <family val="2"/>
    </font>
    <font>
      <b/>
      <sz val="9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36"/>
      <name val="Arial"/>
      <family val="2"/>
    </font>
    <font>
      <b/>
      <u val="single"/>
      <sz val="12"/>
      <color indexed="36"/>
      <name val="Arial"/>
      <family val="2"/>
    </font>
    <font>
      <b/>
      <u val="single"/>
      <sz val="11"/>
      <color indexed="8"/>
      <name val="Comic Sans MS"/>
      <family val="4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7030A0"/>
      <name val="Arial"/>
      <family val="2"/>
    </font>
    <font>
      <b/>
      <sz val="9"/>
      <color rgb="FF7030A0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rgb="FF7030A0"/>
      <name val="Arial"/>
      <family val="2"/>
    </font>
    <font>
      <b/>
      <u val="single"/>
      <sz val="11"/>
      <color theme="1"/>
      <name val="Comic Sans MS"/>
      <family val="4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B050"/>
      <name val="Arial"/>
      <family val="2"/>
    </font>
    <font>
      <b/>
      <u val="single"/>
      <sz val="10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center" wrapText="1"/>
    </xf>
    <xf numFmtId="0" fontId="67" fillId="0" borderId="14" xfId="0" applyFont="1" applyFill="1" applyBorder="1" applyAlignment="1">
      <alignment vertical="center"/>
    </xf>
    <xf numFmtId="192" fontId="8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vertical="center"/>
    </xf>
    <xf numFmtId="0" fontId="67" fillId="0" borderId="16" xfId="0" applyFont="1" applyFill="1" applyBorder="1" applyAlignment="1">
      <alignment vertical="center"/>
    </xf>
    <xf numFmtId="0" fontId="68" fillId="0" borderId="13" xfId="0" applyFont="1" applyFill="1" applyBorder="1" applyAlignment="1">
      <alignment horizontal="center" vertical="center" wrapText="1"/>
    </xf>
    <xf numFmtId="192" fontId="69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left" vertical="center" wrapText="1"/>
    </xf>
    <xf numFmtId="0" fontId="70" fillId="0" borderId="19" xfId="0" applyFont="1" applyFill="1" applyBorder="1" applyAlignment="1">
      <alignment horizontal="left" vertical="center" wrapText="1"/>
    </xf>
    <xf numFmtId="0" fontId="70" fillId="0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72" fillId="0" borderId="21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0" fillId="0" borderId="0" xfId="0" applyAlignment="1">
      <alignment vertical="top"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center" vertical="top"/>
    </xf>
    <xf numFmtId="0" fontId="69" fillId="0" borderId="0" xfId="0" applyFont="1" applyAlignment="1">
      <alignment horizontal="center" vertical="top"/>
    </xf>
    <xf numFmtId="0" fontId="69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 vertical="top"/>
    </xf>
    <xf numFmtId="1" fontId="75" fillId="0" borderId="0" xfId="0" applyNumberFormat="1" applyFont="1" applyBorder="1" applyAlignment="1">
      <alignment horizontal="center"/>
    </xf>
    <xf numFmtId="0" fontId="76" fillId="0" borderId="13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7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76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192" fontId="71" fillId="0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192" fontId="10" fillId="0" borderId="13" xfId="0" applyNumberFormat="1" applyFont="1" applyFill="1" applyBorder="1" applyAlignment="1">
      <alignment horizontal="center" vertical="center" wrapText="1"/>
    </xf>
    <xf numFmtId="192" fontId="10" fillId="0" borderId="13" xfId="0" applyNumberFormat="1" applyFont="1" applyFill="1" applyBorder="1" applyAlignment="1">
      <alignment horizontal="center"/>
    </xf>
    <xf numFmtId="0" fontId="71" fillId="0" borderId="16" xfId="0" applyFont="1" applyFill="1" applyBorder="1" applyAlignment="1">
      <alignment horizontal="center" vertical="center" wrapText="1"/>
    </xf>
    <xf numFmtId="192" fontId="76" fillId="0" borderId="13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192" fontId="71" fillId="0" borderId="17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92" fontId="71" fillId="0" borderId="1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92" fontId="71" fillId="0" borderId="2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192" fontId="76" fillId="0" borderId="14" xfId="0" applyNumberFormat="1" applyFont="1" applyFill="1" applyBorder="1" applyAlignment="1">
      <alignment horizontal="center" vertical="center" wrapText="1"/>
    </xf>
    <xf numFmtId="1" fontId="71" fillId="0" borderId="21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92" fontId="10" fillId="0" borderId="14" xfId="0" applyNumberFormat="1" applyFont="1" applyFill="1" applyBorder="1" applyAlignment="1">
      <alignment horizontal="center" vertical="center" wrapText="1"/>
    </xf>
    <xf numFmtId="192" fontId="71" fillId="0" borderId="15" xfId="0" applyNumberFormat="1" applyFont="1" applyFill="1" applyBorder="1" applyAlignment="1">
      <alignment horizontal="center" vertical="center" wrapText="1"/>
    </xf>
    <xf numFmtId="192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92" fontId="76" fillId="0" borderId="16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 wrapText="1"/>
    </xf>
    <xf numFmtId="1" fontId="76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92" fontId="71" fillId="0" borderId="0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71" fillId="0" borderId="13" xfId="0" applyFont="1" applyFill="1" applyBorder="1" applyAlignment="1">
      <alignment horizontal="center" vertical="top" wrapText="1"/>
    </xf>
    <xf numFmtId="192" fontId="10" fillId="0" borderId="22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192" fontId="71" fillId="0" borderId="13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center" vertical="top" wrapText="1"/>
    </xf>
    <xf numFmtId="192" fontId="10" fillId="0" borderId="15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192" fontId="10" fillId="0" borderId="22" xfId="0" applyNumberFormat="1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 vertical="center" wrapText="1"/>
    </xf>
    <xf numFmtId="192" fontId="10" fillId="0" borderId="17" xfId="0" applyNumberFormat="1" applyFont="1" applyFill="1" applyBorder="1" applyAlignment="1">
      <alignment horizontal="center" vertical="center" wrapText="1"/>
    </xf>
    <xf numFmtId="192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wrapText="1"/>
    </xf>
    <xf numFmtId="192" fontId="10" fillId="0" borderId="22" xfId="0" applyNumberFormat="1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/>
    </xf>
    <xf numFmtId="192" fontId="76" fillId="0" borderId="22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/>
    </xf>
    <xf numFmtId="0" fontId="79" fillId="0" borderId="13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top" wrapText="1"/>
    </xf>
    <xf numFmtId="192" fontId="71" fillId="0" borderId="13" xfId="0" applyNumberFormat="1" applyFont="1" applyFill="1" applyBorder="1" applyAlignment="1">
      <alignment horizontal="center"/>
    </xf>
    <xf numFmtId="0" fontId="76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 vertical="top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81" fillId="0" borderId="22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72" fillId="0" borderId="16" xfId="0" applyFont="1" applyFill="1" applyBorder="1" applyAlignment="1">
      <alignment vertical="center"/>
    </xf>
    <xf numFmtId="0" fontId="72" fillId="0" borderId="14" xfId="0" applyFont="1" applyFill="1" applyBorder="1" applyAlignment="1">
      <alignment vertical="center"/>
    </xf>
    <xf numFmtId="192" fontId="10" fillId="0" borderId="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Font="1" applyFill="1" applyBorder="1" applyAlignment="1">
      <alignment vertical="top"/>
    </xf>
    <xf numFmtId="0" fontId="81" fillId="0" borderId="13" xfId="0" applyFont="1" applyFill="1" applyBorder="1" applyAlignment="1">
      <alignment horizontal="center" vertical="top" wrapText="1"/>
    </xf>
    <xf numFmtId="0" fontId="71" fillId="0" borderId="15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/>
    </xf>
    <xf numFmtId="17" fontId="10" fillId="0" borderId="13" xfId="0" applyNumberFormat="1" applyFont="1" applyFill="1" applyBorder="1" applyAlignment="1">
      <alignment horizontal="center" vertical="center" wrapText="1"/>
    </xf>
    <xf numFmtId="192" fontId="71" fillId="0" borderId="24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Alignment="1">
      <alignment horizontal="left" vertical="top" wrapText="1"/>
    </xf>
    <xf numFmtId="0" fontId="81" fillId="0" borderId="13" xfId="0" applyFont="1" applyFill="1" applyBorder="1" applyAlignment="1">
      <alignment horizontal="center" vertical="center" wrapText="1"/>
    </xf>
    <xf numFmtId="2" fontId="74" fillId="0" borderId="0" xfId="0" applyNumberFormat="1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/>
    </xf>
    <xf numFmtId="192" fontId="76" fillId="0" borderId="14" xfId="0" applyNumberFormat="1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top" wrapText="1"/>
    </xf>
    <xf numFmtId="192" fontId="71" fillId="0" borderId="15" xfId="0" applyNumberFormat="1" applyFont="1" applyFill="1" applyBorder="1" applyAlignment="1">
      <alignment horizontal="right" vertical="center" wrapText="1"/>
    </xf>
    <xf numFmtId="192" fontId="10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192" fontId="3" fillId="0" borderId="0" xfId="0" applyNumberFormat="1" applyFont="1" applyFill="1" applyAlignment="1">
      <alignment vertical="top" wrapText="1"/>
    </xf>
    <xf numFmtId="0" fontId="0" fillId="0" borderId="0" xfId="0" applyAlignment="1">
      <alignment horizontal="left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left" vertical="top" wrapText="1"/>
    </xf>
    <xf numFmtId="192" fontId="10" fillId="0" borderId="23" xfId="0" applyNumberFormat="1" applyFont="1" applyFill="1" applyBorder="1" applyAlignment="1">
      <alignment horizontal="center" vertical="center" wrapText="1"/>
    </xf>
    <xf numFmtId="192" fontId="71" fillId="0" borderId="24" xfId="0" applyNumberFormat="1" applyFont="1" applyFill="1" applyBorder="1" applyAlignment="1">
      <alignment horizontal="center" vertical="top" wrapText="1"/>
    </xf>
    <xf numFmtId="192" fontId="71" fillId="0" borderId="25" xfId="0" applyNumberFormat="1" applyFont="1" applyFill="1" applyBorder="1" applyAlignment="1">
      <alignment horizontal="center" vertical="top" wrapText="1"/>
    </xf>
    <xf numFmtId="0" fontId="71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192" fontId="76" fillId="0" borderId="13" xfId="0" applyNumberFormat="1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left" vertical="top" wrapText="1"/>
    </xf>
    <xf numFmtId="0" fontId="72" fillId="0" borderId="16" xfId="0" applyFont="1" applyFill="1" applyBorder="1" applyAlignment="1">
      <alignment horizontal="left" vertical="top" wrapText="1"/>
    </xf>
    <xf numFmtId="0" fontId="72" fillId="0" borderId="1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6" fillId="33" borderId="13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2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/>
    </xf>
    <xf numFmtId="0" fontId="81" fillId="33" borderId="13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/>
    </xf>
    <xf numFmtId="0" fontId="76" fillId="0" borderId="13" xfId="0" applyFont="1" applyBorder="1" applyAlignment="1">
      <alignment horizontal="center"/>
    </xf>
    <xf numFmtId="0" fontId="76" fillId="0" borderId="13" xfId="0" applyFont="1" applyBorder="1" applyAlignment="1">
      <alignment horizontal="center" wrapText="1"/>
    </xf>
    <xf numFmtId="0" fontId="76" fillId="33" borderId="13" xfId="0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/>
      <protection/>
    </xf>
    <xf numFmtId="0" fontId="8" fillId="33" borderId="13" xfId="57" applyFont="1" applyFill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/>
      <protection/>
    </xf>
    <xf numFmtId="0" fontId="8" fillId="32" borderId="13" xfId="57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left" vertical="top" wrapText="1"/>
    </xf>
    <xf numFmtId="0" fontId="72" fillId="0" borderId="16" xfId="0" applyFont="1" applyFill="1" applyBorder="1" applyAlignment="1">
      <alignment horizontal="left" vertical="top" wrapText="1"/>
    </xf>
    <xf numFmtId="0" fontId="72" fillId="0" borderId="1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top" wrapText="1"/>
    </xf>
    <xf numFmtId="192" fontId="10" fillId="0" borderId="13" xfId="0" applyNumberFormat="1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justify" vertical="top" wrapText="1"/>
    </xf>
    <xf numFmtId="0" fontId="72" fillId="0" borderId="22" xfId="0" applyFont="1" applyFill="1" applyBorder="1" applyAlignment="1">
      <alignment horizontal="justify" vertical="top" wrapText="1"/>
    </xf>
    <xf numFmtId="0" fontId="70" fillId="0" borderId="12" xfId="0" applyFont="1" applyFill="1" applyBorder="1" applyAlignment="1">
      <alignment horizontal="center" vertical="top" wrapText="1"/>
    </xf>
    <xf numFmtId="0" fontId="71" fillId="0" borderId="27" xfId="0" applyFont="1" applyFill="1" applyBorder="1" applyAlignment="1">
      <alignment horizontal="center" vertical="top" wrapText="1"/>
    </xf>
    <xf numFmtId="0" fontId="71" fillId="0" borderId="28" xfId="0" applyFont="1" applyFill="1" applyBorder="1" applyAlignment="1">
      <alignment horizontal="center" vertical="top" wrapText="1"/>
    </xf>
    <xf numFmtId="0" fontId="83" fillId="0" borderId="12" xfId="0" applyFont="1" applyFill="1" applyBorder="1" applyAlignment="1">
      <alignment horizontal="center" vertical="top" wrapText="1"/>
    </xf>
    <xf numFmtId="0" fontId="83" fillId="0" borderId="17" xfId="0" applyFont="1" applyFill="1" applyBorder="1" applyAlignment="1">
      <alignment horizontal="center" vertical="top" wrapText="1"/>
    </xf>
    <xf numFmtId="0" fontId="70" fillId="0" borderId="15" xfId="0" applyFont="1" applyFill="1" applyBorder="1" applyAlignment="1">
      <alignment horizontal="left" vertical="center" wrapText="1"/>
    </xf>
    <xf numFmtId="0" fontId="70" fillId="0" borderId="16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71" fillId="0" borderId="29" xfId="0" applyFont="1" applyFill="1" applyBorder="1" applyAlignment="1">
      <alignment horizontal="center" vertical="top" wrapText="1"/>
    </xf>
    <xf numFmtId="0" fontId="71" fillId="0" borderId="30" xfId="0" applyFont="1" applyFill="1" applyBorder="1" applyAlignment="1">
      <alignment horizontal="center" vertical="top" wrapText="1"/>
    </xf>
    <xf numFmtId="0" fontId="70" fillId="0" borderId="15" xfId="0" applyFont="1" applyFill="1" applyBorder="1" applyAlignment="1">
      <alignment horizontal="left" vertical="top" wrapText="1"/>
    </xf>
    <xf numFmtId="0" fontId="70" fillId="0" borderId="1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72" fillId="0" borderId="15" xfId="0" applyFont="1" applyFill="1" applyBorder="1" applyAlignment="1">
      <alignment horizontal="left" vertical="center" wrapText="1"/>
    </xf>
    <xf numFmtId="0" fontId="72" fillId="0" borderId="16" xfId="0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left" vertical="center" wrapText="1"/>
    </xf>
    <xf numFmtId="0" fontId="72" fillId="0" borderId="15" xfId="0" applyFont="1" applyFill="1" applyBorder="1" applyAlignment="1">
      <alignment horizontal="justify" vertical="top" wrapText="1"/>
    </xf>
    <xf numFmtId="0" fontId="72" fillId="0" borderId="16" xfId="0" applyFont="1" applyFill="1" applyBorder="1" applyAlignment="1">
      <alignment horizontal="justify" vertical="top" wrapText="1"/>
    </xf>
    <xf numFmtId="0" fontId="72" fillId="0" borderId="14" xfId="0" applyFont="1" applyFill="1" applyBorder="1" applyAlignment="1">
      <alignment horizontal="justify" vertical="top" wrapText="1"/>
    </xf>
    <xf numFmtId="0" fontId="70" fillId="0" borderId="15" xfId="0" applyFont="1" applyFill="1" applyBorder="1" applyAlignment="1">
      <alignment vertical="center" wrapText="1"/>
    </xf>
    <xf numFmtId="0" fontId="70" fillId="0" borderId="16" xfId="0" applyFont="1" applyFill="1" applyBorder="1" applyAlignment="1">
      <alignment vertical="center" wrapText="1"/>
    </xf>
    <xf numFmtId="0" fontId="70" fillId="0" borderId="14" xfId="0" applyFont="1" applyFill="1" applyBorder="1" applyAlignment="1">
      <alignment vertical="center" wrapText="1"/>
    </xf>
    <xf numFmtId="0" fontId="72" fillId="0" borderId="15" xfId="0" applyFont="1" applyFill="1" applyBorder="1" applyAlignment="1">
      <alignment horizontal="left" vertical="center"/>
    </xf>
    <xf numFmtId="0" fontId="72" fillId="0" borderId="16" xfId="0" applyFont="1" applyFill="1" applyBorder="1" applyAlignment="1">
      <alignment horizontal="left" vertical="center"/>
    </xf>
    <xf numFmtId="0" fontId="72" fillId="0" borderId="14" xfId="0" applyFont="1" applyFill="1" applyBorder="1" applyAlignment="1">
      <alignment horizontal="left" vertical="center"/>
    </xf>
    <xf numFmtId="0" fontId="70" fillId="0" borderId="17" xfId="0" applyFont="1" applyFill="1" applyBorder="1" applyAlignment="1">
      <alignment horizontal="center" vertical="top" wrapText="1"/>
    </xf>
    <xf numFmtId="0" fontId="70" fillId="0" borderId="11" xfId="0" applyFont="1" applyFill="1" applyBorder="1" applyAlignment="1">
      <alignment horizontal="center" vertical="top" wrapText="1"/>
    </xf>
    <xf numFmtId="0" fontId="71" fillId="0" borderId="29" xfId="0" applyFont="1" applyFill="1" applyBorder="1" applyAlignment="1">
      <alignment horizontal="center" vertical="center" wrapText="1"/>
    </xf>
    <xf numFmtId="0" fontId="71" fillId="0" borderId="3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wrapText="1"/>
    </xf>
    <xf numFmtId="0" fontId="70" fillId="0" borderId="16" xfId="0" applyFont="1" applyFill="1" applyBorder="1" applyAlignment="1">
      <alignment horizontal="left" wrapText="1"/>
    </xf>
    <xf numFmtId="0" fontId="70" fillId="0" borderId="14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7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3"/>
  <sheetViews>
    <sheetView tabSelected="1" view="pageBreakPreview" zoomScaleNormal="70" zoomScaleSheetLayoutView="100" zoomScalePageLayoutView="70" workbookViewId="0" topLeftCell="A394">
      <selection activeCell="B406" sqref="B406"/>
    </sheetView>
  </sheetViews>
  <sheetFormatPr defaultColWidth="9.140625" defaultRowHeight="12.75"/>
  <cols>
    <col min="1" max="1" width="16.140625" style="6" customWidth="1"/>
    <col min="2" max="2" width="15.421875" style="3" customWidth="1"/>
    <col min="3" max="3" width="25.8515625" style="4" customWidth="1"/>
    <col min="4" max="4" width="70.421875" style="4" customWidth="1"/>
    <col min="5" max="5" width="29.00390625" style="3" customWidth="1"/>
    <col min="6" max="6" width="9.140625" style="1" hidden="1" customWidth="1"/>
    <col min="7" max="7" width="87.421875" style="1" hidden="1" customWidth="1"/>
    <col min="8" max="8" width="159.57421875" style="139" customWidth="1"/>
    <col min="9" max="18" width="9.140625" style="1" hidden="1" customWidth="1"/>
    <col min="19" max="20" width="9.140625" style="1" customWidth="1"/>
    <col min="21" max="16384" width="9.140625" style="1" customWidth="1"/>
  </cols>
  <sheetData>
    <row r="1" spans="1:5" ht="27" customHeight="1">
      <c r="A1" s="283" t="s">
        <v>73</v>
      </c>
      <c r="B1" s="284"/>
      <c r="C1" s="284"/>
      <c r="D1" s="284"/>
      <c r="E1" s="284"/>
    </row>
    <row r="2" spans="1:4" ht="19.5" customHeight="1">
      <c r="A2" s="285" t="s">
        <v>9</v>
      </c>
      <c r="B2" s="286"/>
      <c r="C2" s="286"/>
      <c r="D2" s="5" t="s">
        <v>342</v>
      </c>
    </row>
    <row r="3" spans="1:4" ht="16.5" customHeight="1">
      <c r="A3" s="285" t="s">
        <v>10</v>
      </c>
      <c r="B3" s="286"/>
      <c r="C3" s="286"/>
      <c r="D3" s="5" t="s">
        <v>343</v>
      </c>
    </row>
    <row r="4" spans="1:5" ht="31.5" customHeight="1">
      <c r="A4" s="287" t="s">
        <v>234</v>
      </c>
      <c r="B4" s="288"/>
      <c r="C4" s="288"/>
      <c r="D4" s="288"/>
      <c r="E4" s="288"/>
    </row>
    <row r="5" spans="1:6" ht="19.5" customHeight="1">
      <c r="A5" s="281" t="s">
        <v>0</v>
      </c>
      <c r="B5" s="282"/>
      <c r="C5" s="282"/>
      <c r="D5" s="282"/>
      <c r="E5" s="81" t="s">
        <v>7</v>
      </c>
      <c r="F5" s="172"/>
    </row>
    <row r="6" spans="1:8" ht="17.25" customHeight="1">
      <c r="A6" s="233" t="s">
        <v>75</v>
      </c>
      <c r="B6" s="235"/>
      <c r="C6" s="226" t="s">
        <v>141</v>
      </c>
      <c r="D6" s="226"/>
      <c r="E6" s="52">
        <v>1.396</v>
      </c>
      <c r="H6" s="131" t="str">
        <f>CONCATENATE("Aluminium Conductor Steel Reinforced scrap, Lying at ",C6,". Quantity in MT - ",E6,)</f>
        <v>Aluminium Conductor Steel Reinforced scrap, Lying at Outlet store Shri Muktsar sahib. Quantity in MT - 1.396</v>
      </c>
    </row>
    <row r="7" spans="1:8" ht="17.25" customHeight="1">
      <c r="A7" s="233" t="s">
        <v>116</v>
      </c>
      <c r="B7" s="235"/>
      <c r="C7" s="226" t="s">
        <v>198</v>
      </c>
      <c r="D7" s="226"/>
      <c r="E7" s="52">
        <v>8.871</v>
      </c>
      <c r="H7" s="131" t="str">
        <f aca="true" t="shared" si="0" ref="H7:H18">CONCATENATE("Aluminium Conductor Steel Reinforced scrap, Lying at ",C7,". Quantity in MT - ",E7,)</f>
        <v>Aluminium Conductor Steel Reinforced scrap, Lying at CS Kotkapura  (.237 MT Intermingle). Quantity in MT - 8.871</v>
      </c>
    </row>
    <row r="8" spans="1:8" ht="17.25" customHeight="1">
      <c r="A8" s="233" t="s">
        <v>162</v>
      </c>
      <c r="B8" s="235"/>
      <c r="C8" s="226" t="s">
        <v>178</v>
      </c>
      <c r="D8" s="226"/>
      <c r="E8" s="52">
        <v>3.944</v>
      </c>
      <c r="H8" s="131" t="str">
        <f t="shared" si="0"/>
        <v>Aluminium Conductor Steel Reinforced scrap, Lying at Outlet store Malerkotla. Quantity in MT - 3.944</v>
      </c>
    </row>
    <row r="9" spans="1:8" ht="17.25" customHeight="1">
      <c r="A9" s="233" t="s">
        <v>177</v>
      </c>
      <c r="B9" s="235"/>
      <c r="C9" s="226" t="s">
        <v>180</v>
      </c>
      <c r="D9" s="226"/>
      <c r="E9" s="52">
        <v>9.945</v>
      </c>
      <c r="H9" s="131" t="str">
        <f t="shared" si="0"/>
        <v>Aluminium Conductor Steel Reinforced scrap, Lying at Outlet store Patran. Quantity in MT - 9.945</v>
      </c>
    </row>
    <row r="10" spans="1:8" ht="17.25" customHeight="1">
      <c r="A10" s="233" t="s">
        <v>163</v>
      </c>
      <c r="B10" s="235"/>
      <c r="C10" s="226" t="s">
        <v>232</v>
      </c>
      <c r="D10" s="226"/>
      <c r="E10" s="52">
        <v>9.264</v>
      </c>
      <c r="H10" s="131" t="str">
        <f t="shared" si="0"/>
        <v>Aluminium Conductor Steel Reinforced scrap, Lying at CS Patiala (.013 MT Intermingle). Quantity in MT - 9.264</v>
      </c>
    </row>
    <row r="11" spans="1:8" ht="17.25" customHeight="1">
      <c r="A11" s="233" t="s">
        <v>179</v>
      </c>
      <c r="B11" s="235"/>
      <c r="C11" s="226" t="s">
        <v>230</v>
      </c>
      <c r="D11" s="226"/>
      <c r="E11" s="52">
        <v>2.34</v>
      </c>
      <c r="G11" s="139"/>
      <c r="H11" s="131" t="str">
        <f t="shared" si="0"/>
        <v>Aluminium Conductor Steel Reinforced scrap, Lying at Outlet store Nabha. Quantity in MT - 2.34</v>
      </c>
    </row>
    <row r="12" spans="1:8" ht="17.25" customHeight="1">
      <c r="A12" s="233" t="s">
        <v>164</v>
      </c>
      <c r="B12" s="235"/>
      <c r="C12" s="226" t="s">
        <v>231</v>
      </c>
      <c r="D12" s="226"/>
      <c r="E12" s="176">
        <v>1.473</v>
      </c>
      <c r="H12" s="131" t="str">
        <f t="shared" si="0"/>
        <v>Aluminium Conductor Steel Reinforced scrap, Lying at Outlet store Rajpura. Quantity in MT - 1.473</v>
      </c>
    </row>
    <row r="13" spans="1:8" ht="17.25" customHeight="1">
      <c r="A13" s="233" t="s">
        <v>199</v>
      </c>
      <c r="B13" s="235"/>
      <c r="C13" s="226" t="s">
        <v>184</v>
      </c>
      <c r="D13" s="226"/>
      <c r="E13" s="52">
        <v>5.614</v>
      </c>
      <c r="H13" s="131" t="str">
        <f t="shared" si="0"/>
        <v>Aluminium Conductor Steel Reinforced scrap, Lying at Outlet store Mansa. Quantity in MT - 5.614</v>
      </c>
    </row>
    <row r="14" spans="1:8" ht="17.25" customHeight="1">
      <c r="A14" s="233" t="s">
        <v>181</v>
      </c>
      <c r="B14" s="235"/>
      <c r="C14" s="226" t="s">
        <v>317</v>
      </c>
      <c r="D14" s="226"/>
      <c r="E14" s="52">
        <v>2.19</v>
      </c>
      <c r="H14" s="131" t="str">
        <f t="shared" si="0"/>
        <v>Aluminium Conductor Steel Reinforced scrap, Lying at CS Mohali (.314 MT intermingle). Quantity in MT - 2.19</v>
      </c>
    </row>
    <row r="15" spans="1:8" ht="17.25" customHeight="1">
      <c r="A15" s="233" t="s">
        <v>182</v>
      </c>
      <c r="B15" s="235"/>
      <c r="C15" s="226" t="s">
        <v>183</v>
      </c>
      <c r="D15" s="226"/>
      <c r="E15" s="52">
        <v>2.101</v>
      </c>
      <c r="H15" s="131" t="str">
        <f t="shared" si="0"/>
        <v>Aluminium Conductor Steel Reinforced scrap, Lying at Outlet store Ropar. Quantity in MT - 2.101</v>
      </c>
    </row>
    <row r="16" spans="1:8" ht="17.25" customHeight="1">
      <c r="A16" s="233" t="s">
        <v>201</v>
      </c>
      <c r="B16" s="235"/>
      <c r="C16" s="226" t="s">
        <v>267</v>
      </c>
      <c r="D16" s="226"/>
      <c r="E16" s="52">
        <v>0.796</v>
      </c>
      <c r="H16" s="131" t="str">
        <f t="shared" si="0"/>
        <v>Aluminium Conductor Steel Reinforced scrap, Lying at Outlet store Fazilka. Quantity in MT - 0.796</v>
      </c>
    </row>
    <row r="17" spans="1:8" ht="17.25" customHeight="1">
      <c r="A17" s="233" t="s">
        <v>272</v>
      </c>
      <c r="B17" s="235"/>
      <c r="C17" s="226" t="s">
        <v>64</v>
      </c>
      <c r="D17" s="226"/>
      <c r="E17" s="52">
        <v>2.025</v>
      </c>
      <c r="H17" s="131" t="str">
        <f t="shared" si="0"/>
        <v>Aluminium Conductor Steel Reinforced scrap, Lying at CS Bathinda. Quantity in MT - 2.025</v>
      </c>
    </row>
    <row r="18" spans="1:8" ht="17.25" customHeight="1" thickBot="1">
      <c r="A18" s="233" t="s">
        <v>318</v>
      </c>
      <c r="B18" s="235"/>
      <c r="C18" s="226" t="s">
        <v>332</v>
      </c>
      <c r="D18" s="226"/>
      <c r="E18" s="176">
        <v>0.822</v>
      </c>
      <c r="H18" s="131" t="str">
        <f t="shared" si="0"/>
        <v>Aluminium Conductor Steel Reinforced scrap, Lying at Outlet store Bhagta Bhai Ka. Quantity in MT - 0.822</v>
      </c>
    </row>
    <row r="19" spans="1:5" ht="17.25" customHeight="1" thickBot="1">
      <c r="A19" s="272" t="s">
        <v>115</v>
      </c>
      <c r="B19" s="273"/>
      <c r="C19" s="271"/>
      <c r="D19" s="271"/>
      <c r="E19" s="178">
        <f>SUM(E6:E18)</f>
        <v>50.781</v>
      </c>
    </row>
    <row r="20" spans="1:5" ht="17.25" customHeight="1">
      <c r="A20" s="174"/>
      <c r="B20" s="174"/>
      <c r="C20" s="175"/>
      <c r="D20" s="274"/>
      <c r="E20" s="275"/>
    </row>
    <row r="21" spans="1:5" ht="17.25" customHeight="1">
      <c r="A21" s="281" t="s">
        <v>12</v>
      </c>
      <c r="B21" s="282"/>
      <c r="C21" s="282"/>
      <c r="D21" s="282"/>
      <c r="E21" s="81" t="s">
        <v>7</v>
      </c>
    </row>
    <row r="22" spans="1:8" ht="17.25" customHeight="1">
      <c r="A22" s="233" t="s">
        <v>74</v>
      </c>
      <c r="B22" s="235"/>
      <c r="C22" s="226" t="s">
        <v>133</v>
      </c>
      <c r="D22" s="226"/>
      <c r="E22" s="92">
        <v>18.907</v>
      </c>
      <c r="H22" s="131" t="str">
        <f>CONCATENATE("Damaged Distribution Transformer's HT/LT Aluminium coils scrap with insulation, Lying at ",C22,". Quantity in MT - ",E22,)</f>
        <v>Damaged Distribution Transformer's HT/LT Aluminium coils scrap with insulation, Lying at TRY Bhagta Bhai Ka. Quantity in MT - 18.907</v>
      </c>
    </row>
    <row r="23" spans="1:8" ht="17.25" customHeight="1">
      <c r="A23" s="233" t="s">
        <v>124</v>
      </c>
      <c r="B23" s="235"/>
      <c r="C23" s="226" t="s">
        <v>28</v>
      </c>
      <c r="D23" s="226"/>
      <c r="E23" s="92">
        <v>8.316</v>
      </c>
      <c r="H23" s="131" t="str">
        <f aca="true" t="shared" si="1" ref="H23:H32">CONCATENATE("Damaged Distribution Transformer's HT/LT Aluminium coils scrap with insulation, Lying at ",C23,". Quantity in MT - ",E23,)</f>
        <v>Damaged Distribution Transformer's HT/LT Aluminium coils scrap with insulation, Lying at TRY Malerkotla. Quantity in MT - 8.316</v>
      </c>
    </row>
    <row r="24" spans="1:8" ht="17.25" customHeight="1">
      <c r="A24" s="233" t="s">
        <v>125</v>
      </c>
      <c r="B24" s="235"/>
      <c r="C24" s="226" t="s">
        <v>137</v>
      </c>
      <c r="D24" s="226"/>
      <c r="E24" s="92">
        <v>14.066</v>
      </c>
      <c r="H24" s="131" t="str">
        <f t="shared" si="1"/>
        <v>Damaged Distribution Transformer's HT/LT Aluminium coils scrap with insulation, Lying at TRY Patran. Quantity in MT - 14.066</v>
      </c>
    </row>
    <row r="25" spans="1:8" ht="17.25" customHeight="1">
      <c r="A25" s="233" t="s">
        <v>202</v>
      </c>
      <c r="B25" s="235"/>
      <c r="C25" s="226" t="s">
        <v>249</v>
      </c>
      <c r="D25" s="226"/>
      <c r="E25" s="92">
        <v>30.362</v>
      </c>
      <c r="H25" s="131" t="str">
        <f t="shared" si="1"/>
        <v>Damaged Distribution Transformer's HT/LT Aluminium coils scrap with insulation, Lying at TRY Kotkapura. Quantity in MT - 30.362</v>
      </c>
    </row>
    <row r="26" spans="1:8" ht="17.25" customHeight="1">
      <c r="A26" s="233" t="s">
        <v>157</v>
      </c>
      <c r="B26" s="235"/>
      <c r="C26" s="226" t="s">
        <v>165</v>
      </c>
      <c r="D26" s="226"/>
      <c r="E26" s="92">
        <v>3.817</v>
      </c>
      <c r="H26" s="131" t="str">
        <f t="shared" si="1"/>
        <v>Damaged Distribution Transformer's HT/LT Aluminium coils scrap with insulation, Lying at TRY Malout. Quantity in MT - 3.817</v>
      </c>
    </row>
    <row r="27" spans="1:8" ht="17.25" customHeight="1">
      <c r="A27" s="233" t="s">
        <v>185</v>
      </c>
      <c r="B27" s="235"/>
      <c r="C27" s="226" t="s">
        <v>167</v>
      </c>
      <c r="D27" s="226"/>
      <c r="E27" s="92">
        <v>28.947</v>
      </c>
      <c r="H27" s="131" t="str">
        <f t="shared" si="1"/>
        <v>Damaged Distribution Transformer's HT/LT Aluminium coils scrap with insulation, Lying at TRY Mansa. Quantity in MT - 28.947</v>
      </c>
    </row>
    <row r="28" spans="1:8" ht="17.25" customHeight="1">
      <c r="A28" s="233" t="s">
        <v>250</v>
      </c>
      <c r="B28" s="235"/>
      <c r="C28" s="226" t="s">
        <v>220</v>
      </c>
      <c r="D28" s="226"/>
      <c r="E28" s="92">
        <v>4.858</v>
      </c>
      <c r="H28" s="131" t="str">
        <f t="shared" si="1"/>
        <v>Damaged Distribution Transformer's HT/LT Aluminium coils scrap with insulation, Lying at TRY Moga. Quantity in MT - 4.858</v>
      </c>
    </row>
    <row r="29" spans="1:8" ht="17.25" customHeight="1">
      <c r="A29" s="233" t="s">
        <v>166</v>
      </c>
      <c r="B29" s="235"/>
      <c r="C29" s="226" t="s">
        <v>136</v>
      </c>
      <c r="D29" s="226"/>
      <c r="E29" s="92">
        <v>12.273</v>
      </c>
      <c r="H29" s="131" t="str">
        <f t="shared" si="1"/>
        <v>Damaged Distribution Transformer's HT/LT Aluminium coils scrap with insulation, Lying at TRY Sangrur. Quantity in MT - 12.273</v>
      </c>
    </row>
    <row r="30" spans="1:8" ht="17.25" customHeight="1">
      <c r="A30" s="233" t="s">
        <v>252</v>
      </c>
      <c r="B30" s="235"/>
      <c r="C30" s="226" t="s">
        <v>140</v>
      </c>
      <c r="D30" s="226"/>
      <c r="E30" s="92">
        <v>3.352</v>
      </c>
      <c r="H30" s="131" t="str">
        <f t="shared" si="1"/>
        <v>Damaged Distribution Transformer's HT/LT Aluminium coils scrap with insulation, Lying at TRY Ropar. Quantity in MT - 3.352</v>
      </c>
    </row>
    <row r="31" spans="1:8" ht="17.25" customHeight="1">
      <c r="A31" s="233" t="s">
        <v>268</v>
      </c>
      <c r="B31" s="235"/>
      <c r="C31" s="226" t="s">
        <v>36</v>
      </c>
      <c r="D31" s="226"/>
      <c r="E31" s="92">
        <v>6.977</v>
      </c>
      <c r="H31" s="131" t="str">
        <f t="shared" si="1"/>
        <v>Damaged Distribution Transformer's HT/LT Aluminium coils scrap with insulation, Lying at TRY Bathinda. Quantity in MT - 6.977</v>
      </c>
    </row>
    <row r="32" spans="1:8" ht="17.25" customHeight="1" thickBot="1">
      <c r="A32" s="233" t="s">
        <v>269</v>
      </c>
      <c r="B32" s="235"/>
      <c r="C32" s="226" t="s">
        <v>122</v>
      </c>
      <c r="D32" s="226"/>
      <c r="E32" s="92">
        <v>6.075</v>
      </c>
      <c r="H32" s="131" t="str">
        <f t="shared" si="1"/>
        <v>Damaged Distribution Transformer's HT/LT Aluminium coils scrap with insulation, Lying at TRY Patiala. Quantity in MT - 6.075</v>
      </c>
    </row>
    <row r="33" spans="1:5" ht="17.25" customHeight="1" thickBot="1">
      <c r="A33" s="279" t="s">
        <v>115</v>
      </c>
      <c r="B33" s="280"/>
      <c r="C33" s="301"/>
      <c r="D33" s="302"/>
      <c r="E33" s="177">
        <f>SUM(E22:E32)</f>
        <v>137.95</v>
      </c>
    </row>
    <row r="34" spans="1:8" ht="17.25" customHeight="1">
      <c r="A34" s="265"/>
      <c r="B34" s="265"/>
      <c r="C34" s="265"/>
      <c r="D34" s="265"/>
      <c r="E34" s="266"/>
      <c r="H34" s="160"/>
    </row>
    <row r="35" spans="1:6" ht="17.25" customHeight="1">
      <c r="A35" s="269" t="s">
        <v>109</v>
      </c>
      <c r="B35" s="269"/>
      <c r="C35" s="269"/>
      <c r="D35" s="269"/>
      <c r="E35" s="270"/>
      <c r="F35" s="1" t="e">
        <f>B53+B67+B88+B100+B119+B133+#REF!+#REF!+#REF!+#REF!+B150+B165</f>
        <v>#REF!</v>
      </c>
    </row>
    <row r="36" spans="1:5" ht="17.25" customHeight="1">
      <c r="A36" s="267" t="s">
        <v>365</v>
      </c>
      <c r="B36" s="268"/>
      <c r="C36" s="268"/>
      <c r="D36" s="268"/>
      <c r="E36" s="268"/>
    </row>
    <row r="37" spans="1:5" ht="17.25" customHeight="1">
      <c r="A37" s="124"/>
      <c r="B37" s="125"/>
      <c r="C37" s="125"/>
      <c r="D37" s="125"/>
      <c r="E37" s="125"/>
    </row>
    <row r="38" spans="1:5" ht="24.75" customHeight="1">
      <c r="A38" s="233" t="s">
        <v>244</v>
      </c>
      <c r="B38" s="234"/>
      <c r="C38" s="234"/>
      <c r="D38" s="234"/>
      <c r="E38" s="235"/>
    </row>
    <row r="39" spans="1:5" ht="24.75" customHeight="1">
      <c r="A39" s="27" t="s">
        <v>210</v>
      </c>
      <c r="B39" s="27" t="s">
        <v>211</v>
      </c>
      <c r="C39" s="27" t="s">
        <v>212</v>
      </c>
      <c r="D39" s="27" t="s">
        <v>213</v>
      </c>
      <c r="E39" s="119" t="s">
        <v>214</v>
      </c>
    </row>
    <row r="40" spans="1:6" ht="17.25" customHeight="1">
      <c r="A40" s="230" t="s">
        <v>215</v>
      </c>
      <c r="B40" s="231"/>
      <c r="C40" s="232"/>
      <c r="D40" s="90"/>
      <c r="E40" s="109"/>
      <c r="F40" s="1">
        <f>B41+B42+B43+B44+B45+B47+B48+B49+B50+B51</f>
        <v>249</v>
      </c>
    </row>
    <row r="41" spans="1:5" ht="17.25" customHeight="1">
      <c r="A41" s="220">
        <v>90</v>
      </c>
      <c r="B41" s="221">
        <v>27</v>
      </c>
      <c r="C41" s="221" t="s">
        <v>216</v>
      </c>
      <c r="D41" s="220" t="s">
        <v>217</v>
      </c>
      <c r="E41" s="221">
        <v>1301</v>
      </c>
    </row>
    <row r="42" spans="1:5" ht="17.25" customHeight="1">
      <c r="A42" s="220">
        <v>91</v>
      </c>
      <c r="B42" s="221">
        <v>25</v>
      </c>
      <c r="C42" s="221" t="s">
        <v>216</v>
      </c>
      <c r="D42" s="220" t="s">
        <v>218</v>
      </c>
      <c r="E42" s="221">
        <v>1214</v>
      </c>
    </row>
    <row r="43" spans="1:5" ht="17.25" customHeight="1">
      <c r="A43" s="220">
        <v>92</v>
      </c>
      <c r="B43" s="221">
        <v>14</v>
      </c>
      <c r="C43" s="221" t="s">
        <v>216</v>
      </c>
      <c r="D43" s="220" t="s">
        <v>219</v>
      </c>
      <c r="E43" s="221">
        <v>678</v>
      </c>
    </row>
    <row r="44" spans="1:5" ht="17.25" customHeight="1">
      <c r="A44" s="220">
        <v>93</v>
      </c>
      <c r="B44" s="221">
        <v>25</v>
      </c>
      <c r="C44" s="221" t="s">
        <v>216</v>
      </c>
      <c r="D44" s="220" t="s">
        <v>225</v>
      </c>
      <c r="E44" s="221">
        <v>1201</v>
      </c>
    </row>
    <row r="45" spans="1:5" ht="17.25" customHeight="1">
      <c r="A45" s="220">
        <v>94</v>
      </c>
      <c r="B45" s="221">
        <v>18</v>
      </c>
      <c r="C45" s="221" t="s">
        <v>216</v>
      </c>
      <c r="D45" s="220" t="s">
        <v>226</v>
      </c>
      <c r="E45" s="221">
        <v>835</v>
      </c>
    </row>
    <row r="46" spans="1:5" ht="75.75" customHeight="1">
      <c r="A46" s="220">
        <v>95</v>
      </c>
      <c r="B46" s="221">
        <v>20</v>
      </c>
      <c r="C46" s="222" t="s">
        <v>242</v>
      </c>
      <c r="D46" s="223" t="s">
        <v>259</v>
      </c>
      <c r="E46" s="224">
        <v>4276</v>
      </c>
    </row>
    <row r="47" spans="1:5" ht="17.25" customHeight="1">
      <c r="A47" s="220">
        <v>96</v>
      </c>
      <c r="B47" s="221">
        <v>27</v>
      </c>
      <c r="C47" s="225" t="s">
        <v>216</v>
      </c>
      <c r="D47" s="220" t="s">
        <v>260</v>
      </c>
      <c r="E47" s="224">
        <v>1303</v>
      </c>
    </row>
    <row r="48" spans="1:5" ht="17.25" customHeight="1">
      <c r="A48" s="220">
        <v>97</v>
      </c>
      <c r="B48" s="221">
        <v>26</v>
      </c>
      <c r="C48" s="225" t="s">
        <v>216</v>
      </c>
      <c r="D48" s="220" t="s">
        <v>261</v>
      </c>
      <c r="E48" s="224">
        <v>1209</v>
      </c>
    </row>
    <row r="49" spans="1:5" ht="17.25" customHeight="1">
      <c r="A49" s="220">
        <v>98</v>
      </c>
      <c r="B49" s="221">
        <v>27</v>
      </c>
      <c r="C49" s="225" t="s">
        <v>224</v>
      </c>
      <c r="D49" s="223" t="s">
        <v>260</v>
      </c>
      <c r="E49" s="221">
        <v>1286</v>
      </c>
    </row>
    <row r="50" spans="1:5" ht="17.25" customHeight="1">
      <c r="A50" s="220">
        <v>99</v>
      </c>
      <c r="B50" s="221">
        <v>30</v>
      </c>
      <c r="C50" s="225" t="s">
        <v>224</v>
      </c>
      <c r="D50" s="223" t="s">
        <v>262</v>
      </c>
      <c r="E50" s="221">
        <v>1365</v>
      </c>
    </row>
    <row r="51" spans="1:5" ht="17.25" customHeight="1">
      <c r="A51" s="220">
        <v>100</v>
      </c>
      <c r="B51" s="221">
        <v>30</v>
      </c>
      <c r="C51" s="225" t="s">
        <v>224</v>
      </c>
      <c r="D51" s="223" t="s">
        <v>262</v>
      </c>
      <c r="E51" s="221">
        <v>1374</v>
      </c>
    </row>
    <row r="52" spans="1:5" ht="17.25" customHeight="1">
      <c r="A52" s="120"/>
      <c r="B52" s="121">
        <f>SUM(B41:B51)</f>
        <v>269</v>
      </c>
      <c r="C52" s="121">
        <f>B52-20</f>
        <v>249</v>
      </c>
      <c r="D52" s="121"/>
      <c r="E52" s="121">
        <f>SUM(E41:E51)</f>
        <v>16042</v>
      </c>
    </row>
    <row r="53" spans="1:5" ht="17.25" customHeight="1">
      <c r="A53" s="90" t="s">
        <v>14</v>
      </c>
      <c r="B53" s="121">
        <f>B52</f>
        <v>269</v>
      </c>
      <c r="C53" s="121"/>
      <c r="D53" s="121"/>
      <c r="E53" s="121">
        <f>E52</f>
        <v>16042</v>
      </c>
    </row>
    <row r="54" spans="1:5" ht="17.25" customHeight="1">
      <c r="A54" s="109"/>
      <c r="B54" s="122"/>
      <c r="C54" s="122"/>
      <c r="D54" s="122"/>
      <c r="E54" s="122"/>
    </row>
    <row r="55" spans="1:5" ht="27.75" customHeight="1">
      <c r="A55" s="233" t="s">
        <v>335</v>
      </c>
      <c r="B55" s="234"/>
      <c r="C55" s="234"/>
      <c r="D55" s="234"/>
      <c r="E55" s="234"/>
    </row>
    <row r="56" spans="1:5" ht="24.75" customHeight="1">
      <c r="A56" s="27" t="s">
        <v>210</v>
      </c>
      <c r="B56" s="27" t="s">
        <v>211</v>
      </c>
      <c r="C56" s="27" t="s">
        <v>212</v>
      </c>
      <c r="D56" s="27" t="s">
        <v>213</v>
      </c>
      <c r="E56" s="119" t="s">
        <v>214</v>
      </c>
    </row>
    <row r="57" spans="1:5" ht="17.25" customHeight="1">
      <c r="A57" s="230" t="s">
        <v>222</v>
      </c>
      <c r="B57" s="231"/>
      <c r="C57" s="232"/>
      <c r="D57" s="27"/>
      <c r="E57" s="119"/>
    </row>
    <row r="58" spans="1:5" ht="17.25" customHeight="1">
      <c r="A58" s="158" t="s">
        <v>286</v>
      </c>
      <c r="B58" s="153">
        <v>7</v>
      </c>
      <c r="C58" s="153" t="s">
        <v>227</v>
      </c>
      <c r="D58" s="153" t="s">
        <v>287</v>
      </c>
      <c r="E58" s="153">
        <v>780</v>
      </c>
    </row>
    <row r="59" spans="1:5" ht="17.25" customHeight="1">
      <c r="A59" s="161"/>
      <c r="B59" s="123">
        <f>SUM(B58:B58)</f>
        <v>7</v>
      </c>
      <c r="C59" s="123"/>
      <c r="D59" s="123"/>
      <c r="E59" s="123">
        <f>SUM(E58:E58)</f>
        <v>780</v>
      </c>
    </row>
    <row r="60" spans="1:5" ht="17.25" customHeight="1">
      <c r="A60" s="230" t="s">
        <v>215</v>
      </c>
      <c r="B60" s="231"/>
      <c r="C60" s="232"/>
      <c r="D60" s="39"/>
      <c r="E60" s="39"/>
    </row>
    <row r="61" spans="1:5" ht="17.25" customHeight="1">
      <c r="A61" s="158" t="s">
        <v>288</v>
      </c>
      <c r="B61" s="153">
        <v>4</v>
      </c>
      <c r="C61" s="157" t="s">
        <v>233</v>
      </c>
      <c r="D61" s="153" t="s">
        <v>289</v>
      </c>
      <c r="E61" s="153">
        <v>466</v>
      </c>
    </row>
    <row r="62" spans="1:5" ht="17.25" customHeight="1">
      <c r="A62" s="158" t="s">
        <v>288</v>
      </c>
      <c r="B62" s="153">
        <v>1</v>
      </c>
      <c r="C62" s="157" t="s">
        <v>242</v>
      </c>
      <c r="D62" s="153" t="s">
        <v>266</v>
      </c>
      <c r="E62" s="153">
        <v>220</v>
      </c>
    </row>
    <row r="63" spans="1:5" ht="17.25" customHeight="1">
      <c r="A63" s="158" t="s">
        <v>288</v>
      </c>
      <c r="B63" s="153">
        <v>1</v>
      </c>
      <c r="C63" s="157" t="s">
        <v>246</v>
      </c>
      <c r="D63" s="153" t="s">
        <v>290</v>
      </c>
      <c r="E63" s="153">
        <v>295</v>
      </c>
    </row>
    <row r="64" spans="1:5" ht="17.25" customHeight="1">
      <c r="A64" s="158" t="s">
        <v>291</v>
      </c>
      <c r="B64" s="153">
        <v>1</v>
      </c>
      <c r="C64" s="153" t="s">
        <v>227</v>
      </c>
      <c r="D64" s="46" t="s">
        <v>247</v>
      </c>
      <c r="E64" s="153">
        <v>87</v>
      </c>
    </row>
    <row r="65" spans="1:5" ht="17.25" customHeight="1">
      <c r="A65" s="158" t="s">
        <v>292</v>
      </c>
      <c r="B65" s="153">
        <v>1</v>
      </c>
      <c r="C65" s="157" t="s">
        <v>233</v>
      </c>
      <c r="D65" s="46" t="s">
        <v>247</v>
      </c>
      <c r="E65" s="153">
        <v>115</v>
      </c>
    </row>
    <row r="66" spans="1:5" ht="17.25" customHeight="1">
      <c r="A66" s="27"/>
      <c r="B66" s="90">
        <f>SUM(B61:B65)</f>
        <v>8</v>
      </c>
      <c r="C66" s="90"/>
      <c r="D66" s="90"/>
      <c r="E66" s="90">
        <f>SUM(E61:E65)</f>
        <v>1183</v>
      </c>
    </row>
    <row r="67" spans="1:5" ht="17.25" customHeight="1">
      <c r="A67" s="90" t="s">
        <v>14</v>
      </c>
      <c r="B67" s="121">
        <f>B59+B66</f>
        <v>15</v>
      </c>
      <c r="C67" s="121"/>
      <c r="D67" s="121"/>
      <c r="E67" s="121">
        <f>E59+E66</f>
        <v>1963</v>
      </c>
    </row>
    <row r="68" spans="1:5" ht="17.25" customHeight="1">
      <c r="A68" s="109"/>
      <c r="B68" s="122"/>
      <c r="C68" s="128"/>
      <c r="D68" s="121"/>
      <c r="E68" s="121"/>
    </row>
    <row r="69" spans="1:5" ht="27" customHeight="1">
      <c r="A69" s="233" t="s">
        <v>336</v>
      </c>
      <c r="B69" s="234"/>
      <c r="C69" s="234"/>
      <c r="D69" s="234"/>
      <c r="E69" s="234"/>
    </row>
    <row r="70" spans="1:5" ht="21" customHeight="1">
      <c r="A70" s="27" t="s">
        <v>210</v>
      </c>
      <c r="B70" s="27" t="s">
        <v>211</v>
      </c>
      <c r="C70" s="27" t="s">
        <v>212</v>
      </c>
      <c r="D70" s="27" t="s">
        <v>213</v>
      </c>
      <c r="E70" s="119" t="s">
        <v>214</v>
      </c>
    </row>
    <row r="71" spans="1:5" ht="17.25" customHeight="1">
      <c r="A71" s="230" t="s">
        <v>222</v>
      </c>
      <c r="B71" s="231"/>
      <c r="C71" s="232"/>
      <c r="D71" s="27"/>
      <c r="E71" s="119"/>
    </row>
    <row r="72" spans="1:5" ht="17.25" customHeight="1">
      <c r="A72" s="87" t="s">
        <v>305</v>
      </c>
      <c r="B72" s="127">
        <v>11</v>
      </c>
      <c r="C72" s="127" t="s">
        <v>223</v>
      </c>
      <c r="D72" s="127" t="s">
        <v>293</v>
      </c>
      <c r="E72" s="155">
        <v>654</v>
      </c>
    </row>
    <row r="73" spans="1:5" ht="17.25" customHeight="1">
      <c r="A73" s="46" t="s">
        <v>306</v>
      </c>
      <c r="B73" s="154">
        <v>11</v>
      </c>
      <c r="C73" s="154" t="s">
        <v>224</v>
      </c>
      <c r="D73" s="154" t="s">
        <v>294</v>
      </c>
      <c r="E73" s="154">
        <v>849</v>
      </c>
    </row>
    <row r="74" spans="1:5" ht="17.25" customHeight="1">
      <c r="A74" s="46" t="s">
        <v>307</v>
      </c>
      <c r="B74" s="154">
        <v>2</v>
      </c>
      <c r="C74" s="154" t="s">
        <v>227</v>
      </c>
      <c r="D74" s="154" t="s">
        <v>295</v>
      </c>
      <c r="E74" s="154">
        <v>202</v>
      </c>
    </row>
    <row r="75" spans="1:5" ht="17.25" customHeight="1">
      <c r="A75" s="161"/>
      <c r="B75" s="123">
        <f>SUM(B72:B74)</f>
        <v>24</v>
      </c>
      <c r="C75" s="123"/>
      <c r="D75" s="123"/>
      <c r="E75" s="123">
        <f>SUM(E72:E74)</f>
        <v>1705</v>
      </c>
    </row>
    <row r="76" spans="1:5" ht="17.25" customHeight="1">
      <c r="A76" s="230" t="s">
        <v>215</v>
      </c>
      <c r="B76" s="231"/>
      <c r="C76" s="232"/>
      <c r="D76" s="39"/>
      <c r="E76" s="39"/>
    </row>
    <row r="77" spans="1:5" ht="17.25" customHeight="1">
      <c r="A77" s="87" t="s">
        <v>308</v>
      </c>
      <c r="B77" s="127">
        <v>9</v>
      </c>
      <c r="C77" s="87" t="s">
        <v>223</v>
      </c>
      <c r="D77" s="127" t="s">
        <v>296</v>
      </c>
      <c r="E77" s="87">
        <v>460</v>
      </c>
    </row>
    <row r="78" spans="1:5" ht="17.25" customHeight="1">
      <c r="A78" s="46" t="s">
        <v>309</v>
      </c>
      <c r="B78" s="46">
        <v>2</v>
      </c>
      <c r="C78" s="181" t="s">
        <v>233</v>
      </c>
      <c r="D78" s="46" t="s">
        <v>297</v>
      </c>
      <c r="E78" s="46">
        <v>243</v>
      </c>
    </row>
    <row r="79" spans="1:5" ht="17.25" customHeight="1">
      <c r="A79" s="46" t="s">
        <v>310</v>
      </c>
      <c r="B79" s="46">
        <v>3</v>
      </c>
      <c r="C79" s="181" t="s">
        <v>242</v>
      </c>
      <c r="D79" s="46" t="s">
        <v>298</v>
      </c>
      <c r="E79" s="46">
        <v>540</v>
      </c>
    </row>
    <row r="80" spans="1:5" ht="30" customHeight="1">
      <c r="A80" s="46" t="s">
        <v>311</v>
      </c>
      <c r="B80" s="46">
        <v>1</v>
      </c>
      <c r="C80" s="181" t="s">
        <v>301</v>
      </c>
      <c r="D80" s="46" t="s">
        <v>302</v>
      </c>
      <c r="E80" s="46">
        <v>210</v>
      </c>
    </row>
    <row r="81" spans="1:5" ht="17.25" customHeight="1">
      <c r="A81" s="46" t="s">
        <v>312</v>
      </c>
      <c r="B81" s="46">
        <v>1</v>
      </c>
      <c r="C81" s="181" t="s">
        <v>246</v>
      </c>
      <c r="D81" s="46" t="s">
        <v>303</v>
      </c>
      <c r="E81" s="46">
        <v>280</v>
      </c>
    </row>
    <row r="82" spans="1:5" ht="17.25" customHeight="1">
      <c r="A82" s="46" t="s">
        <v>313</v>
      </c>
      <c r="B82" s="46">
        <v>1</v>
      </c>
      <c r="C82" s="181" t="s">
        <v>265</v>
      </c>
      <c r="D82" s="46" t="s">
        <v>299</v>
      </c>
      <c r="E82" s="46">
        <v>410</v>
      </c>
    </row>
    <row r="83" spans="1:5" ht="17.25" customHeight="1">
      <c r="A83" s="192" t="s">
        <v>314</v>
      </c>
      <c r="B83" s="46">
        <v>1</v>
      </c>
      <c r="C83" s="46" t="s">
        <v>224</v>
      </c>
      <c r="D83" s="46" t="s">
        <v>304</v>
      </c>
      <c r="E83" s="46">
        <v>58</v>
      </c>
    </row>
    <row r="84" spans="1:5" ht="17.25" customHeight="1">
      <c r="A84" s="167"/>
      <c r="B84" s="166">
        <f>SUM(B77:B83)</f>
        <v>18</v>
      </c>
      <c r="C84" s="166"/>
      <c r="D84" s="166"/>
      <c r="E84" s="166">
        <f>SUM(E77:E83)</f>
        <v>2201</v>
      </c>
    </row>
    <row r="85" spans="1:5" ht="17.25" customHeight="1">
      <c r="A85" s="230" t="s">
        <v>228</v>
      </c>
      <c r="B85" s="231"/>
      <c r="C85" s="232"/>
      <c r="D85" s="90"/>
      <c r="E85" s="90"/>
    </row>
    <row r="86" spans="1:5" ht="17.25" customHeight="1">
      <c r="A86" s="46" t="s">
        <v>315</v>
      </c>
      <c r="B86" s="74">
        <v>2</v>
      </c>
      <c r="C86" s="74" t="s">
        <v>224</v>
      </c>
      <c r="D86" s="74" t="s">
        <v>300</v>
      </c>
      <c r="E86" s="46">
        <v>110</v>
      </c>
    </row>
    <row r="87" spans="1:5" ht="17.25" customHeight="1">
      <c r="A87" s="27"/>
      <c r="B87" s="90">
        <f>B86</f>
        <v>2</v>
      </c>
      <c r="C87" s="90"/>
      <c r="D87" s="90"/>
      <c r="E87" s="90">
        <f>E86</f>
        <v>110</v>
      </c>
    </row>
    <row r="88" spans="1:5" ht="17.25" customHeight="1">
      <c r="A88" s="90" t="s">
        <v>14</v>
      </c>
      <c r="B88" s="121">
        <f>B75+B84+B87</f>
        <v>44</v>
      </c>
      <c r="C88" s="121"/>
      <c r="D88" s="121"/>
      <c r="E88" s="121">
        <f>E75+E84+E87</f>
        <v>4016</v>
      </c>
    </row>
    <row r="89" spans="1:5" ht="17.25" customHeight="1">
      <c r="A89" s="109"/>
      <c r="B89" s="122"/>
      <c r="C89" s="128"/>
      <c r="D89" s="121"/>
      <c r="E89" s="121"/>
    </row>
    <row r="90" spans="1:5" ht="33.75" customHeight="1">
      <c r="A90" s="233" t="s">
        <v>337</v>
      </c>
      <c r="B90" s="234"/>
      <c r="C90" s="234"/>
      <c r="D90" s="234"/>
      <c r="E90" s="234"/>
    </row>
    <row r="91" spans="1:5" ht="23.25" customHeight="1">
      <c r="A91" s="27" t="s">
        <v>210</v>
      </c>
      <c r="B91" s="27" t="s">
        <v>211</v>
      </c>
      <c r="C91" s="27" t="s">
        <v>212</v>
      </c>
      <c r="D91" s="27" t="s">
        <v>213</v>
      </c>
      <c r="E91" s="119" t="s">
        <v>214</v>
      </c>
    </row>
    <row r="92" spans="1:5" ht="17.25" customHeight="1">
      <c r="A92" s="230" t="s">
        <v>222</v>
      </c>
      <c r="B92" s="231"/>
      <c r="C92" s="232"/>
      <c r="D92" s="27"/>
      <c r="E92" s="119"/>
    </row>
    <row r="93" spans="1:5" ht="17.25" customHeight="1">
      <c r="A93" s="51">
        <v>756</v>
      </c>
      <c r="B93" s="51">
        <v>3</v>
      </c>
      <c r="C93" s="51" t="s">
        <v>224</v>
      </c>
      <c r="D93" s="51" t="s">
        <v>319</v>
      </c>
      <c r="E93" s="51">
        <v>226</v>
      </c>
    </row>
    <row r="94" spans="1:5" ht="17.25" customHeight="1">
      <c r="A94" s="51">
        <v>757</v>
      </c>
      <c r="B94" s="51">
        <v>10</v>
      </c>
      <c r="C94" s="51" t="s">
        <v>227</v>
      </c>
      <c r="D94" s="51" t="s">
        <v>320</v>
      </c>
      <c r="E94" s="51">
        <v>1056</v>
      </c>
    </row>
    <row r="95" spans="1:5" ht="17.25" customHeight="1">
      <c r="A95" s="161"/>
      <c r="B95" s="123">
        <f>SUM(B93:B94)</f>
        <v>13</v>
      </c>
      <c r="C95" s="123"/>
      <c r="D95" s="123"/>
      <c r="E95" s="123">
        <f>SUM(E93:E94)</f>
        <v>1282</v>
      </c>
    </row>
    <row r="96" spans="1:5" ht="17.25" customHeight="1">
      <c r="A96" s="230" t="s">
        <v>215</v>
      </c>
      <c r="B96" s="231"/>
      <c r="C96" s="232"/>
      <c r="D96" s="39"/>
      <c r="E96" s="39"/>
    </row>
    <row r="97" spans="1:5" ht="17.25" customHeight="1">
      <c r="A97" s="51">
        <v>758</v>
      </c>
      <c r="B97" s="51">
        <v>8</v>
      </c>
      <c r="C97" s="51" t="s">
        <v>224</v>
      </c>
      <c r="D97" s="51" t="s">
        <v>321</v>
      </c>
      <c r="E97" s="51">
        <v>586</v>
      </c>
    </row>
    <row r="98" spans="1:5" ht="17.25" customHeight="1">
      <c r="A98" s="51">
        <v>759</v>
      </c>
      <c r="B98" s="51">
        <v>1</v>
      </c>
      <c r="C98" s="51" t="s">
        <v>227</v>
      </c>
      <c r="D98" s="51" t="s">
        <v>239</v>
      </c>
      <c r="E98" s="51">
        <v>82</v>
      </c>
    </row>
    <row r="99" spans="1:5" ht="17.25" customHeight="1">
      <c r="A99" s="27"/>
      <c r="B99" s="90">
        <f>SUM(B97:B98)</f>
        <v>9</v>
      </c>
      <c r="C99" s="90"/>
      <c r="D99" s="90"/>
      <c r="E99" s="90">
        <f>SUM(E97:E98)</f>
        <v>668</v>
      </c>
    </row>
    <row r="100" spans="1:5" ht="17.25" customHeight="1">
      <c r="A100" s="90" t="s">
        <v>14</v>
      </c>
      <c r="B100" s="121">
        <f>B95+B99</f>
        <v>22</v>
      </c>
      <c r="C100" s="121"/>
      <c r="D100" s="121"/>
      <c r="E100" s="121">
        <f>E95+E99</f>
        <v>1950</v>
      </c>
    </row>
    <row r="101" spans="1:5" ht="17.25" customHeight="1">
      <c r="A101" s="109"/>
      <c r="B101" s="122"/>
      <c r="C101" s="128"/>
      <c r="D101" s="121"/>
      <c r="E101" s="121"/>
    </row>
    <row r="102" spans="1:5" ht="27" customHeight="1">
      <c r="A102" s="233" t="s">
        <v>263</v>
      </c>
      <c r="B102" s="234"/>
      <c r="C102" s="234"/>
      <c r="D102" s="234"/>
      <c r="E102" s="234"/>
    </row>
    <row r="103" spans="1:5" ht="24" customHeight="1">
      <c r="A103" s="27" t="s">
        <v>210</v>
      </c>
      <c r="B103" s="27" t="s">
        <v>211</v>
      </c>
      <c r="C103" s="27" t="s">
        <v>212</v>
      </c>
      <c r="D103" s="27" t="s">
        <v>213</v>
      </c>
      <c r="E103" s="119" t="s">
        <v>214</v>
      </c>
    </row>
    <row r="104" spans="1:5" ht="17.25" customHeight="1">
      <c r="A104" s="230" t="s">
        <v>222</v>
      </c>
      <c r="B104" s="231"/>
      <c r="C104" s="232"/>
      <c r="D104" s="27"/>
      <c r="E104" s="119"/>
    </row>
    <row r="105" spans="1:5" ht="32.25" customHeight="1">
      <c r="A105" s="87">
        <v>1397</v>
      </c>
      <c r="B105" s="127">
        <v>25</v>
      </c>
      <c r="C105" s="127" t="s">
        <v>223</v>
      </c>
      <c r="D105" s="87" t="s">
        <v>322</v>
      </c>
      <c r="E105" s="87">
        <v>1495</v>
      </c>
    </row>
    <row r="106" spans="1:5" ht="32.25" customHeight="1">
      <c r="A106" s="87">
        <v>1398</v>
      </c>
      <c r="B106" s="127">
        <v>25</v>
      </c>
      <c r="C106" s="127" t="s">
        <v>223</v>
      </c>
      <c r="D106" s="87" t="s">
        <v>323</v>
      </c>
      <c r="E106" s="46">
        <v>1504</v>
      </c>
    </row>
    <row r="107" spans="1:5" ht="32.25" customHeight="1">
      <c r="A107" s="87">
        <v>1399</v>
      </c>
      <c r="B107" s="127">
        <v>25</v>
      </c>
      <c r="C107" s="127" t="s">
        <v>223</v>
      </c>
      <c r="D107" s="46" t="s">
        <v>330</v>
      </c>
      <c r="E107" s="46">
        <v>1509</v>
      </c>
    </row>
    <row r="108" spans="1:5" ht="32.25" customHeight="1">
      <c r="A108" s="87">
        <v>1400</v>
      </c>
      <c r="B108" s="127">
        <v>20</v>
      </c>
      <c r="C108" s="127" t="s">
        <v>223</v>
      </c>
      <c r="D108" s="46" t="s">
        <v>324</v>
      </c>
      <c r="E108" s="46">
        <v>1223</v>
      </c>
    </row>
    <row r="109" spans="1:5" ht="17.25" customHeight="1">
      <c r="A109" s="161"/>
      <c r="B109" s="123">
        <f>SUM(B105:B108)</f>
        <v>95</v>
      </c>
      <c r="C109" s="123"/>
      <c r="D109" s="123"/>
      <c r="E109" s="123">
        <f>SUM(E105:E108)</f>
        <v>5731</v>
      </c>
    </row>
    <row r="110" spans="1:5" ht="17.25" customHeight="1">
      <c r="A110" s="230" t="s">
        <v>215</v>
      </c>
      <c r="B110" s="231"/>
      <c r="C110" s="232"/>
      <c r="D110" s="39"/>
      <c r="E110" s="39"/>
    </row>
    <row r="111" spans="1:5" ht="30" customHeight="1">
      <c r="A111" s="87">
        <v>1392</v>
      </c>
      <c r="B111" s="127">
        <v>25</v>
      </c>
      <c r="C111" s="127" t="s">
        <v>223</v>
      </c>
      <c r="D111" s="87" t="s">
        <v>325</v>
      </c>
      <c r="E111" s="74">
        <v>1405</v>
      </c>
    </row>
    <row r="112" spans="1:5" ht="17.25" customHeight="1">
      <c r="A112" s="87">
        <v>1393</v>
      </c>
      <c r="B112" s="127">
        <v>14</v>
      </c>
      <c r="C112" s="127" t="s">
        <v>223</v>
      </c>
      <c r="D112" s="127" t="s">
        <v>326</v>
      </c>
      <c r="E112" s="87">
        <v>790</v>
      </c>
    </row>
    <row r="113" spans="1:5" ht="17.25" customHeight="1">
      <c r="A113" s="87">
        <v>1394</v>
      </c>
      <c r="B113" s="127">
        <v>2</v>
      </c>
      <c r="C113" s="127" t="s">
        <v>224</v>
      </c>
      <c r="D113" s="127" t="s">
        <v>327</v>
      </c>
      <c r="E113" s="46">
        <v>124</v>
      </c>
    </row>
    <row r="114" spans="1:5" ht="17.25" customHeight="1">
      <c r="A114" s="87">
        <v>1396</v>
      </c>
      <c r="B114" s="127">
        <v>4</v>
      </c>
      <c r="C114" s="127" t="s">
        <v>227</v>
      </c>
      <c r="D114" s="127" t="s">
        <v>329</v>
      </c>
      <c r="E114" s="46">
        <v>309</v>
      </c>
    </row>
    <row r="115" spans="1:5" ht="17.25" customHeight="1">
      <c r="A115" s="27"/>
      <c r="B115" s="90">
        <f>SUM(B111:B114)</f>
        <v>45</v>
      </c>
      <c r="C115" s="90"/>
      <c r="D115" s="90"/>
      <c r="E115" s="90">
        <f>SUM(E111:E114)</f>
        <v>2628</v>
      </c>
    </row>
    <row r="116" spans="1:5" ht="17.25" customHeight="1">
      <c r="A116" s="230" t="s">
        <v>229</v>
      </c>
      <c r="B116" s="231"/>
      <c r="C116" s="232"/>
      <c r="D116" s="90"/>
      <c r="E116" s="90"/>
    </row>
    <row r="117" spans="1:5" ht="17.25" customHeight="1">
      <c r="A117" s="87">
        <v>1395</v>
      </c>
      <c r="B117" s="127">
        <v>2</v>
      </c>
      <c r="C117" s="127" t="s">
        <v>224</v>
      </c>
      <c r="D117" s="127" t="s">
        <v>328</v>
      </c>
      <c r="E117" s="46">
        <v>144</v>
      </c>
    </row>
    <row r="118" spans="1:5" ht="17.25" customHeight="1">
      <c r="A118" s="27"/>
      <c r="B118" s="90">
        <f>B117</f>
        <v>2</v>
      </c>
      <c r="C118" s="90"/>
      <c r="D118" s="90"/>
      <c r="E118" s="90">
        <f>E117</f>
        <v>144</v>
      </c>
    </row>
    <row r="119" spans="1:5" ht="17.25" customHeight="1">
      <c r="A119" s="90" t="s">
        <v>14</v>
      </c>
      <c r="B119" s="121">
        <f>B109+B115+B118</f>
        <v>142</v>
      </c>
      <c r="C119" s="121"/>
      <c r="D119" s="121"/>
      <c r="E119" s="121">
        <f>E109+E115+E118</f>
        <v>8503</v>
      </c>
    </row>
    <row r="120" spans="1:5" ht="17.25" customHeight="1">
      <c r="A120" s="109"/>
      <c r="B120" s="122"/>
      <c r="C120" s="128"/>
      <c r="D120" s="121"/>
      <c r="E120" s="121"/>
    </row>
    <row r="121" spans="1:5" ht="31.5" customHeight="1">
      <c r="A121" s="233" t="s">
        <v>264</v>
      </c>
      <c r="B121" s="234"/>
      <c r="C121" s="234"/>
      <c r="D121" s="234"/>
      <c r="E121" s="234"/>
    </row>
    <row r="122" spans="1:5" ht="24.75" customHeight="1">
      <c r="A122" s="27" t="s">
        <v>210</v>
      </c>
      <c r="B122" s="27" t="s">
        <v>211</v>
      </c>
      <c r="C122" s="27" t="s">
        <v>212</v>
      </c>
      <c r="D122" s="27" t="s">
        <v>213</v>
      </c>
      <c r="E122" s="119" t="s">
        <v>214</v>
      </c>
    </row>
    <row r="123" spans="1:5" ht="17.25" customHeight="1">
      <c r="A123" s="236" t="s">
        <v>222</v>
      </c>
      <c r="B123" s="237"/>
      <c r="C123" s="238"/>
      <c r="D123" s="46"/>
      <c r="E123" s="45"/>
    </row>
    <row r="124" spans="1:5" ht="17.25" customHeight="1">
      <c r="A124" s="46">
        <v>996</v>
      </c>
      <c r="B124" s="46">
        <v>3</v>
      </c>
      <c r="C124" s="46" t="s">
        <v>216</v>
      </c>
      <c r="D124" s="46" t="s">
        <v>338</v>
      </c>
      <c r="E124" s="154">
        <v>216</v>
      </c>
    </row>
    <row r="125" spans="1:5" ht="17.25" customHeight="1">
      <c r="A125" s="46">
        <v>997</v>
      </c>
      <c r="B125" s="46">
        <v>3</v>
      </c>
      <c r="C125" s="46" t="s">
        <v>238</v>
      </c>
      <c r="D125" s="46" t="s">
        <v>339</v>
      </c>
      <c r="E125" s="154">
        <v>304</v>
      </c>
    </row>
    <row r="126" spans="1:5" ht="17.25" customHeight="1">
      <c r="A126" s="219"/>
      <c r="B126" s="123">
        <f>SUM(B124:B125)</f>
        <v>6</v>
      </c>
      <c r="C126" s="123"/>
      <c r="D126" s="123"/>
      <c r="E126" s="123">
        <f>SUM(E124:E125)</f>
        <v>520</v>
      </c>
    </row>
    <row r="127" spans="1:5" ht="17.25" customHeight="1">
      <c r="A127" s="236" t="s">
        <v>215</v>
      </c>
      <c r="B127" s="237"/>
      <c r="C127" s="238"/>
      <c r="D127" s="39"/>
      <c r="E127" s="39"/>
    </row>
    <row r="128" spans="1:5" ht="17.25" customHeight="1">
      <c r="A128" s="87">
        <v>998</v>
      </c>
      <c r="B128" s="127">
        <v>3</v>
      </c>
      <c r="C128" s="87" t="s">
        <v>237</v>
      </c>
      <c r="D128" s="46" t="s">
        <v>241</v>
      </c>
      <c r="E128" s="155">
        <v>137</v>
      </c>
    </row>
    <row r="129" spans="1:5" ht="17.25" customHeight="1">
      <c r="A129" s="87">
        <v>999</v>
      </c>
      <c r="B129" s="127">
        <v>14</v>
      </c>
      <c r="C129" s="87" t="s">
        <v>216</v>
      </c>
      <c r="D129" s="46" t="s">
        <v>340</v>
      </c>
      <c r="E129" s="155">
        <v>1255</v>
      </c>
    </row>
    <row r="130" spans="1:5" ht="17.25" customHeight="1">
      <c r="A130" s="87">
        <v>1000</v>
      </c>
      <c r="B130" s="127">
        <v>7</v>
      </c>
      <c r="C130" s="87" t="s">
        <v>216</v>
      </c>
      <c r="D130" s="46" t="s">
        <v>341</v>
      </c>
      <c r="E130" s="155">
        <v>613</v>
      </c>
    </row>
    <row r="131" spans="1:5" ht="17.25" customHeight="1">
      <c r="A131" s="87">
        <v>1001</v>
      </c>
      <c r="B131" s="127">
        <v>1</v>
      </c>
      <c r="C131" s="87" t="s">
        <v>238</v>
      </c>
      <c r="D131" s="46" t="s">
        <v>240</v>
      </c>
      <c r="E131" s="155">
        <v>101</v>
      </c>
    </row>
    <row r="132" spans="1:5" ht="17.25" customHeight="1">
      <c r="A132" s="46"/>
      <c r="B132" s="179">
        <f>SUM(B128:B131)</f>
        <v>25</v>
      </c>
      <c r="C132" s="179"/>
      <c r="D132" s="179"/>
      <c r="E132" s="179">
        <f>SUM(E128:E131)</f>
        <v>2106</v>
      </c>
    </row>
    <row r="133" spans="1:5" ht="17.25" customHeight="1">
      <c r="A133" s="179" t="s">
        <v>14</v>
      </c>
      <c r="B133" s="195">
        <f>B126+B132</f>
        <v>31</v>
      </c>
      <c r="C133" s="195"/>
      <c r="D133" s="195"/>
      <c r="E133" s="195">
        <f>E126+E132</f>
        <v>2626</v>
      </c>
    </row>
    <row r="134" spans="1:5" ht="17.25" customHeight="1">
      <c r="A134" s="198"/>
      <c r="B134" s="196"/>
      <c r="C134" s="197"/>
      <c r="D134" s="195"/>
      <c r="E134" s="195"/>
    </row>
    <row r="135" spans="1:11" ht="29.25" customHeight="1">
      <c r="A135" s="233" t="s">
        <v>363</v>
      </c>
      <c r="B135" s="234"/>
      <c r="C135" s="234"/>
      <c r="D135" s="234"/>
      <c r="E135" s="234"/>
      <c r="F135" s="203" t="s">
        <v>243</v>
      </c>
      <c r="G135" s="211"/>
      <c r="H135" s="210">
        <v>7</v>
      </c>
      <c r="I135" s="210">
        <v>6.3</v>
      </c>
      <c r="J135" s="211" t="s">
        <v>348</v>
      </c>
      <c r="K135" s="211">
        <v>365</v>
      </c>
    </row>
    <row r="136" spans="1:7" ht="23.25" customHeight="1">
      <c r="A136" s="27" t="s">
        <v>210</v>
      </c>
      <c r="B136" s="27" t="s">
        <v>211</v>
      </c>
      <c r="C136" s="27" t="s">
        <v>212</v>
      </c>
      <c r="D136" s="27" t="s">
        <v>213</v>
      </c>
      <c r="E136" s="119" t="s">
        <v>214</v>
      </c>
      <c r="F136" s="203"/>
      <c r="G136" s="203"/>
    </row>
    <row r="137" spans="1:7" ht="17.25" customHeight="1">
      <c r="A137" s="236" t="s">
        <v>222</v>
      </c>
      <c r="B137" s="237"/>
      <c r="C137" s="238"/>
      <c r="D137" s="46"/>
      <c r="E137" s="45"/>
      <c r="F137" s="203"/>
      <c r="G137" s="203"/>
    </row>
    <row r="138" spans="1:7" ht="17.25" customHeight="1">
      <c r="A138" s="211">
        <v>717</v>
      </c>
      <c r="B138" s="208">
        <v>4</v>
      </c>
      <c r="C138" s="208" t="s">
        <v>223</v>
      </c>
      <c r="D138" s="209" t="s">
        <v>345</v>
      </c>
      <c r="E138" s="209">
        <v>245</v>
      </c>
      <c r="F138" s="203"/>
      <c r="G138" s="203"/>
    </row>
    <row r="139" spans="1:7" ht="17.25" customHeight="1">
      <c r="A139" s="211">
        <v>718</v>
      </c>
      <c r="B139" s="208">
        <v>2</v>
      </c>
      <c r="C139" s="208" t="s">
        <v>224</v>
      </c>
      <c r="D139" s="209" t="s">
        <v>346</v>
      </c>
      <c r="E139" s="208">
        <v>166</v>
      </c>
      <c r="F139" s="203"/>
      <c r="G139" s="203"/>
    </row>
    <row r="140" spans="1:7" ht="17.25" customHeight="1">
      <c r="A140" s="211">
        <v>719</v>
      </c>
      <c r="B140" s="210">
        <v>2</v>
      </c>
      <c r="C140" s="210" t="s">
        <v>227</v>
      </c>
      <c r="D140" s="211" t="s">
        <v>347</v>
      </c>
      <c r="E140" s="207">
        <v>194</v>
      </c>
      <c r="F140" s="203"/>
      <c r="G140" s="203"/>
    </row>
    <row r="141" spans="1:7" ht="17.25" customHeight="1">
      <c r="A141" s="218"/>
      <c r="B141" s="201">
        <f>SUM(B138:B140)</f>
        <v>8</v>
      </c>
      <c r="C141" s="201"/>
      <c r="D141" s="201"/>
      <c r="E141" s="202">
        <f>SUM(E138:E140)</f>
        <v>605</v>
      </c>
      <c r="F141" s="203"/>
      <c r="G141" s="203"/>
    </row>
    <row r="142" spans="1:7" ht="17.25" customHeight="1">
      <c r="A142" s="236" t="s">
        <v>215</v>
      </c>
      <c r="B142" s="237"/>
      <c r="C142" s="238"/>
      <c r="D142" s="201"/>
      <c r="E142" s="202"/>
      <c r="F142" s="203"/>
      <c r="G142" s="203"/>
    </row>
    <row r="143" spans="1:7" ht="17.25" customHeight="1">
      <c r="A143" s="211">
        <v>720</v>
      </c>
      <c r="B143" s="210">
        <v>7</v>
      </c>
      <c r="C143" s="210" t="s">
        <v>223</v>
      </c>
      <c r="D143" s="211" t="s">
        <v>348</v>
      </c>
      <c r="E143" s="211">
        <v>365</v>
      </c>
      <c r="F143" s="203"/>
      <c r="G143" s="203"/>
    </row>
    <row r="144" spans="1:7" ht="17.25" customHeight="1">
      <c r="A144" s="161">
        <v>721</v>
      </c>
      <c r="B144" s="212">
        <v>2</v>
      </c>
      <c r="C144" s="214" t="s">
        <v>242</v>
      </c>
      <c r="D144" s="211" t="s">
        <v>349</v>
      </c>
      <c r="E144" s="161">
        <v>410</v>
      </c>
      <c r="F144" s="203"/>
      <c r="G144" s="203"/>
    </row>
    <row r="145" spans="1:7" ht="17.25" customHeight="1">
      <c r="A145" s="161">
        <v>722</v>
      </c>
      <c r="B145" s="212">
        <v>2</v>
      </c>
      <c r="C145" s="214" t="s">
        <v>246</v>
      </c>
      <c r="D145" s="211" t="s">
        <v>350</v>
      </c>
      <c r="E145" s="161">
        <v>490</v>
      </c>
      <c r="F145" s="203"/>
      <c r="G145" s="203"/>
    </row>
    <row r="146" spans="1:7" ht="17.25" customHeight="1">
      <c r="A146" s="161">
        <v>723</v>
      </c>
      <c r="B146" s="161">
        <v>3</v>
      </c>
      <c r="C146" s="213" t="s">
        <v>265</v>
      </c>
      <c r="D146" s="161" t="s">
        <v>351</v>
      </c>
      <c r="E146" s="161">
        <v>1400</v>
      </c>
      <c r="F146" s="203"/>
      <c r="G146" s="203"/>
    </row>
    <row r="147" spans="1:7" ht="17.25" customHeight="1">
      <c r="A147" s="161">
        <v>724</v>
      </c>
      <c r="B147" s="212">
        <v>8</v>
      </c>
      <c r="C147" s="204" t="s">
        <v>352</v>
      </c>
      <c r="D147" s="211" t="s">
        <v>353</v>
      </c>
      <c r="E147" s="161">
        <v>5651</v>
      </c>
      <c r="F147" s="203"/>
      <c r="G147" s="203"/>
    </row>
    <row r="148" spans="1:7" ht="17.25" customHeight="1">
      <c r="A148" s="161">
        <v>725</v>
      </c>
      <c r="B148" s="212">
        <v>1</v>
      </c>
      <c r="C148" s="204" t="s">
        <v>354</v>
      </c>
      <c r="D148" s="211" t="s">
        <v>355</v>
      </c>
      <c r="E148" s="161">
        <v>1033</v>
      </c>
      <c r="F148" s="203"/>
      <c r="G148" s="203"/>
    </row>
    <row r="149" spans="1:7" ht="17.25" customHeight="1">
      <c r="A149" s="46"/>
      <c r="B149" s="201">
        <f>SUM(B143:B148)</f>
        <v>23</v>
      </c>
      <c r="C149" s="201"/>
      <c r="D149" s="201"/>
      <c r="E149" s="202">
        <f>SUM(E143:E148)</f>
        <v>9349</v>
      </c>
      <c r="F149" s="203"/>
      <c r="G149" s="203"/>
    </row>
    <row r="150" spans="1:7" ht="17.25" customHeight="1">
      <c r="A150" s="201" t="s">
        <v>14</v>
      </c>
      <c r="B150" s="195">
        <f>B141+B149</f>
        <v>31</v>
      </c>
      <c r="C150" s="195"/>
      <c r="D150" s="195"/>
      <c r="E150" s="195">
        <f>E141+E149</f>
        <v>9954</v>
      </c>
      <c r="F150" s="203"/>
      <c r="G150" s="203"/>
    </row>
    <row r="151" spans="1:7" ht="17.25" customHeight="1">
      <c r="A151" s="206"/>
      <c r="B151" s="196"/>
      <c r="C151" s="197"/>
      <c r="D151" s="197"/>
      <c r="E151" s="197"/>
      <c r="F151" s="203"/>
      <c r="G151" s="203"/>
    </row>
    <row r="152" spans="1:7" ht="28.5" customHeight="1">
      <c r="A152" s="233" t="s">
        <v>364</v>
      </c>
      <c r="B152" s="234"/>
      <c r="C152" s="234"/>
      <c r="D152" s="234"/>
      <c r="E152" s="234"/>
      <c r="F152" s="203" t="s">
        <v>243</v>
      </c>
      <c r="G152" s="203"/>
    </row>
    <row r="153" spans="1:7" ht="26.25" customHeight="1">
      <c r="A153" s="27" t="s">
        <v>210</v>
      </c>
      <c r="B153" s="27" t="s">
        <v>211</v>
      </c>
      <c r="C153" s="27" t="s">
        <v>212</v>
      </c>
      <c r="D153" s="27" t="s">
        <v>213</v>
      </c>
      <c r="E153" s="119" t="s">
        <v>214</v>
      </c>
      <c r="F153" s="203"/>
      <c r="G153" s="203"/>
    </row>
    <row r="154" spans="1:7" ht="17.25" customHeight="1">
      <c r="A154" s="236" t="s">
        <v>222</v>
      </c>
      <c r="B154" s="237"/>
      <c r="C154" s="238"/>
      <c r="D154" s="46"/>
      <c r="E154" s="45"/>
      <c r="F154" s="203"/>
      <c r="G154" s="203"/>
    </row>
    <row r="155" spans="1:7" ht="17.25" customHeight="1">
      <c r="A155" s="39">
        <v>724</v>
      </c>
      <c r="B155" s="215">
        <v>1</v>
      </c>
      <c r="C155" s="215" t="s">
        <v>223</v>
      </c>
      <c r="D155" s="215" t="s">
        <v>356</v>
      </c>
      <c r="E155" s="215">
        <v>50</v>
      </c>
      <c r="F155" s="203"/>
      <c r="G155" s="203"/>
    </row>
    <row r="156" spans="1:7" ht="17.25" customHeight="1">
      <c r="A156" s="39">
        <v>725</v>
      </c>
      <c r="B156" s="215">
        <v>6</v>
      </c>
      <c r="C156" s="215" t="s">
        <v>224</v>
      </c>
      <c r="D156" s="215" t="s">
        <v>357</v>
      </c>
      <c r="E156" s="215">
        <v>446</v>
      </c>
      <c r="F156" s="203"/>
      <c r="G156" s="203"/>
    </row>
    <row r="157" spans="1:7" ht="17.25" customHeight="1">
      <c r="A157" s="39">
        <v>726</v>
      </c>
      <c r="B157" s="215">
        <v>21</v>
      </c>
      <c r="C157" s="215" t="s">
        <v>227</v>
      </c>
      <c r="D157" s="216" t="s">
        <v>362</v>
      </c>
      <c r="E157" s="215">
        <v>2233</v>
      </c>
      <c r="F157" s="203"/>
      <c r="G157" s="203"/>
    </row>
    <row r="158" spans="1:7" ht="17.25" customHeight="1">
      <c r="A158" s="205"/>
      <c r="B158" s="205">
        <f>SUM(B155:B157)</f>
        <v>28</v>
      </c>
      <c r="C158" s="205"/>
      <c r="D158" s="205"/>
      <c r="E158" s="205">
        <f>SUM(E155:E157)</f>
        <v>2729</v>
      </c>
      <c r="F158" s="203"/>
      <c r="G158" s="203"/>
    </row>
    <row r="159" spans="1:7" ht="17.25" customHeight="1">
      <c r="A159" s="236" t="s">
        <v>215</v>
      </c>
      <c r="B159" s="237"/>
      <c r="C159" s="238"/>
      <c r="D159" s="205"/>
      <c r="E159" s="206"/>
      <c r="F159" s="203"/>
      <c r="G159" s="203"/>
    </row>
    <row r="160" spans="1:7" ht="17.25" customHeight="1">
      <c r="A160" s="39">
        <v>730</v>
      </c>
      <c r="B160" s="215">
        <v>1</v>
      </c>
      <c r="C160" s="217" t="s">
        <v>246</v>
      </c>
      <c r="D160" s="215" t="s">
        <v>358</v>
      </c>
      <c r="E160" s="215">
        <v>265</v>
      </c>
      <c r="F160" s="203"/>
      <c r="G160" s="203"/>
    </row>
    <row r="161" spans="1:7" ht="17.25" customHeight="1">
      <c r="A161" s="39">
        <v>727</v>
      </c>
      <c r="B161" s="215">
        <v>10</v>
      </c>
      <c r="C161" s="215" t="s">
        <v>224</v>
      </c>
      <c r="D161" s="215" t="s">
        <v>359</v>
      </c>
      <c r="E161" s="215">
        <v>750</v>
      </c>
      <c r="F161" s="203"/>
      <c r="G161" s="203"/>
    </row>
    <row r="162" spans="1:8" ht="17.25" customHeight="1">
      <c r="A162" s="39">
        <v>728</v>
      </c>
      <c r="B162" s="215">
        <v>5</v>
      </c>
      <c r="C162" s="215" t="s">
        <v>227</v>
      </c>
      <c r="D162" s="215" t="s">
        <v>360</v>
      </c>
      <c r="E162" s="215">
        <v>403</v>
      </c>
      <c r="F162" s="203"/>
      <c r="G162" s="203"/>
      <c r="H162" s="1"/>
    </row>
    <row r="163" spans="1:7" ht="17.25" customHeight="1">
      <c r="A163" s="39">
        <v>729</v>
      </c>
      <c r="B163" s="215">
        <v>2</v>
      </c>
      <c r="C163" s="217" t="s">
        <v>233</v>
      </c>
      <c r="D163" s="215" t="s">
        <v>361</v>
      </c>
      <c r="E163" s="215">
        <v>207</v>
      </c>
      <c r="F163" s="203"/>
      <c r="G163" s="203"/>
    </row>
    <row r="164" spans="1:7" ht="17.25" customHeight="1">
      <c r="A164" s="46"/>
      <c r="B164" s="205">
        <f>SUM(B160:B163)</f>
        <v>18</v>
      </c>
      <c r="C164" s="205"/>
      <c r="D164" s="205"/>
      <c r="E164" s="205">
        <f>SUM(E160:E163)</f>
        <v>1625</v>
      </c>
      <c r="F164" s="203"/>
      <c r="G164" s="203"/>
    </row>
    <row r="165" spans="1:7" ht="17.25" customHeight="1">
      <c r="A165" s="205" t="s">
        <v>14</v>
      </c>
      <c r="B165" s="195">
        <f>B158+B164</f>
        <v>46</v>
      </c>
      <c r="C165" s="195"/>
      <c r="D165" s="195"/>
      <c r="E165" s="195">
        <f>E158+E164</f>
        <v>4354</v>
      </c>
      <c r="F165" s="203"/>
      <c r="G165" s="203"/>
    </row>
    <row r="166" spans="1:7" ht="17.25" customHeight="1">
      <c r="A166" s="206"/>
      <c r="B166" s="196"/>
      <c r="C166" s="197"/>
      <c r="D166" s="195"/>
      <c r="E166" s="195"/>
      <c r="F166" s="203"/>
      <c r="G166" s="203"/>
    </row>
    <row r="167" spans="1:8" s="2" customFormat="1" ht="21" customHeight="1">
      <c r="A167" s="289" t="s">
        <v>22</v>
      </c>
      <c r="B167" s="290"/>
      <c r="C167" s="291"/>
      <c r="D167" s="9"/>
      <c r="E167" s="11"/>
      <c r="H167" s="141"/>
    </row>
    <row r="168" spans="1:8" s="2" customFormat="1" ht="18" customHeight="1">
      <c r="A168" s="45"/>
      <c r="B168" s="199"/>
      <c r="C168" s="200"/>
      <c r="D168" s="49"/>
      <c r="E168" s="50">
        <f>SUM(E170:E173)</f>
        <v>0.512</v>
      </c>
      <c r="H168" s="141"/>
    </row>
    <row r="169" spans="1:18" ht="17.25" customHeight="1">
      <c r="A169" s="46" t="s">
        <v>5</v>
      </c>
      <c r="B169" s="233" t="s">
        <v>17</v>
      </c>
      <c r="C169" s="235"/>
      <c r="D169" s="198" t="s">
        <v>18</v>
      </c>
      <c r="E169" s="46" t="s">
        <v>7</v>
      </c>
      <c r="G169" s="131" t="str">
        <f>CONCATENATE("Cable Scrap, Lying at ",B170,". Quantity in MT - ")</f>
        <v>Cable Scrap, Lying at CS Ferozepur. Quantity in MT - </v>
      </c>
      <c r="H169" s="313" t="str">
        <f ca="1">CONCATENATE(G169,G170,(INDIRECT(I170)),(INDIRECT(J170)),(INDIRECT(K170)),(INDIRECT(L170)),(INDIRECT(M170)),(INDIRECT(N170)),(INDIRECT(O170)),(INDIRECT(P170)),(INDIRECT(Q170)),(INDIRECT(R170)))</f>
        <v>Cable Scrap, Lying at CS Ferozepur. Quantity in MT - 2/core PVC Alumn. Cable scrap - 0.169, 4/core PVC Alumn. Cable scrap - 0.14, 1/ core XLPE Alu cable scrap - 0.001, 3/ core XLPE Alu cable scrap - 0.202, </v>
      </c>
      <c r="I169" s="138" t="str">
        <f aca="true" ca="1" t="array" ref="I169">CELL("address",INDEX(G169:G191,MATCH(TRUE,ISBLANK(G169:G191),0)))</f>
        <v>$G$174</v>
      </c>
      <c r="J169" s="138">
        <f aca="true" t="array" ref="J169">MATCH(TRUE,ISBLANK(G169:G191),0)</f>
        <v>6</v>
      </c>
      <c r="K169" s="138">
        <f>J169-3</f>
        <v>3</v>
      </c>
      <c r="L169" s="138"/>
      <c r="M169" s="138"/>
      <c r="N169" s="138"/>
      <c r="O169" s="138"/>
      <c r="P169" s="138"/>
      <c r="Q169" s="138"/>
      <c r="R169" s="138"/>
    </row>
    <row r="170" spans="1:18" ht="15" customHeight="1">
      <c r="A170" s="226" t="s">
        <v>35</v>
      </c>
      <c r="B170" s="226" t="s">
        <v>100</v>
      </c>
      <c r="C170" s="226"/>
      <c r="D170" s="51" t="s">
        <v>91</v>
      </c>
      <c r="E170" s="52">
        <v>0.169</v>
      </c>
      <c r="G170" s="129" t="str">
        <f>CONCATENATE(D170," - ",E170,", ")</f>
        <v>2/core PVC Alumn. Cable scrap - 0.169, </v>
      </c>
      <c r="H170" s="314"/>
      <c r="I170" s="138" t="str">
        <f ca="1">IF(J169&gt;=3,(MID(I169,2,1)&amp;MID(I169,4,3)-K169),CELL("address",Z170))</f>
        <v>G171</v>
      </c>
      <c r="J170" s="138" t="str">
        <f ca="1">IF(J169&gt;=4,(MID(I170,1,1)&amp;MID(I170,2,3)+1),CELL("address",AA170))</f>
        <v>G172</v>
      </c>
      <c r="K170" s="138" t="str">
        <f ca="1">IF(J169&gt;=5,(MID(J170,1,1)&amp;MID(J170,2,3)+1),CELL("address",AB170))</f>
        <v>G173</v>
      </c>
      <c r="L170" s="138" t="str">
        <f ca="1">IF(J169&gt;=6,(MID(K170,1,1)&amp;MID(K170,2,3)+1),CELL("address",AC170))</f>
        <v>G174</v>
      </c>
      <c r="M170" s="138" t="str">
        <f ca="1">IF(J169&gt;=7,(MID(L170,1,1)&amp;MID(L170,2,3)+1),CELL("address",AD170))</f>
        <v>$AD$170</v>
      </c>
      <c r="N170" s="138" t="str">
        <f ca="1">IF(J169&gt;=8,(MID(M170,1,1)&amp;MID(M170,2,3)+1),CELL("address",AE170))</f>
        <v>$AE$170</v>
      </c>
      <c r="O170" s="138" t="str">
        <f ca="1">IF(J169&gt;=9,(MID(N170,1,1)&amp;MID(N170,2,3)+1),CELL("address",AF170))</f>
        <v>$AF$170</v>
      </c>
      <c r="P170" s="138" t="str">
        <f ca="1">IF(J169&gt;=10,(MID(O170,1,1)&amp;MID(O170,2,3)+1),CELL("address",AG170))</f>
        <v>$AG$170</v>
      </c>
      <c r="Q170" s="138" t="str">
        <f ca="1">IF(J169&gt;=11,(MID(P170,1,1)&amp;MID(P170,2,3)+1),CELL("address",AH170))</f>
        <v>$AH$170</v>
      </c>
      <c r="R170" s="138" t="str">
        <f ca="1">IF(J169&gt;=12,(MID(Q170,1,1)&amp;MID(Q170,2,3)+1),CELL("address",AI170))</f>
        <v>$AI$170</v>
      </c>
    </row>
    <row r="171" spans="1:8" ht="15" customHeight="1">
      <c r="A171" s="226"/>
      <c r="B171" s="226"/>
      <c r="C171" s="226"/>
      <c r="D171" s="51" t="s">
        <v>92</v>
      </c>
      <c r="E171" s="52">
        <v>0.14</v>
      </c>
      <c r="G171" s="129" t="str">
        <f>CONCATENATE(D171," - ",E171,", ")</f>
        <v>4/core PVC Alumn. Cable scrap - 0.14, </v>
      </c>
      <c r="H171" s="142"/>
    </row>
    <row r="172" spans="1:8" ht="15" customHeight="1">
      <c r="A172" s="226"/>
      <c r="B172" s="226"/>
      <c r="C172" s="226"/>
      <c r="D172" s="51" t="s">
        <v>98</v>
      </c>
      <c r="E172" s="51">
        <v>0.001</v>
      </c>
      <c r="G172" s="129" t="str">
        <f>CONCATENATE(D172," - ",E172,", ")</f>
        <v>1/ core XLPE Alu cable scrap - 0.001, </v>
      </c>
      <c r="H172" s="142"/>
    </row>
    <row r="173" spans="1:8" ht="15" customHeight="1">
      <c r="A173" s="226"/>
      <c r="B173" s="226"/>
      <c r="C173" s="226"/>
      <c r="D173" s="51" t="s">
        <v>93</v>
      </c>
      <c r="E173" s="53">
        <v>0.202</v>
      </c>
      <c r="G173" s="129" t="str">
        <f>CONCATENATE(D173," - ",E173,", ")</f>
        <v>3/ core XLPE Alu cable scrap - 0.202, </v>
      </c>
      <c r="H173" s="142"/>
    </row>
    <row r="174" spans="1:8" ht="15" customHeight="1">
      <c r="A174" s="45"/>
      <c r="B174" s="54"/>
      <c r="C174" s="115"/>
      <c r="D174" s="39"/>
      <c r="E174" s="55"/>
      <c r="G174" s="129"/>
      <c r="H174" s="142"/>
    </row>
    <row r="175" spans="1:8" ht="15" customHeight="1">
      <c r="A175" s="46"/>
      <c r="B175" s="249"/>
      <c r="C175" s="250"/>
      <c r="D175" s="116"/>
      <c r="E175" s="59">
        <f>SUM(E177:E178)</f>
        <v>1.568</v>
      </c>
      <c r="G175" s="129"/>
      <c r="H175" s="142"/>
    </row>
    <row r="176" spans="1:18" ht="15" customHeight="1">
      <c r="A176" s="46" t="s">
        <v>5</v>
      </c>
      <c r="B176" s="226" t="s">
        <v>17</v>
      </c>
      <c r="C176" s="226"/>
      <c r="D176" s="114" t="s">
        <v>18</v>
      </c>
      <c r="E176" s="46" t="s">
        <v>7</v>
      </c>
      <c r="G176" s="131" t="str">
        <f>CONCATENATE("Cable Scrap, Lying at ",B177,". Quantity in MT - ")</f>
        <v>Cable Scrap, Lying at OL Shri Muktsar Sahib. Quantity in MT - </v>
      </c>
      <c r="H176" s="256" t="str">
        <f ca="1">CONCATENATE(G176,G177,(INDIRECT(I177)),(INDIRECT(J177)),(INDIRECT(K177)),(INDIRECT(L177)),(INDIRECT(M177)),(INDIRECT(N177)),(INDIRECT(O177)),(INDIRECT(P177)),(INDIRECT(Q177)),(INDIRECT(R177)),".")</f>
        <v>Cable Scrap, Lying at OL Shri Muktsar Sahib. Quantity in MT - 4/core PVC Alumn. Cable scrap - 0.028, 3/ core XLPE Alu cable scrap - 1.54, .</v>
      </c>
      <c r="I176" s="138" t="str">
        <f aca="true" ca="1" t="array" ref="I176">CELL("address",INDEX(G176:G201,MATCH(TRUE,ISBLANK(G176:G201),0)))</f>
        <v>$G$179</v>
      </c>
      <c r="J176" s="138">
        <f aca="true" t="array" ref="J176">MATCH(TRUE,ISBLANK(G176:G201),0)</f>
        <v>4</v>
      </c>
      <c r="K176" s="138">
        <f>J176-3</f>
        <v>1</v>
      </c>
      <c r="L176" s="138"/>
      <c r="M176" s="138"/>
      <c r="N176" s="138"/>
      <c r="O176" s="138"/>
      <c r="P176" s="138"/>
      <c r="Q176" s="138"/>
      <c r="R176" s="138"/>
    </row>
    <row r="177" spans="1:18" ht="15" customHeight="1">
      <c r="A177" s="226" t="s">
        <v>94</v>
      </c>
      <c r="B177" s="226" t="s">
        <v>142</v>
      </c>
      <c r="C177" s="226"/>
      <c r="D177" s="51" t="s">
        <v>92</v>
      </c>
      <c r="E177" s="52">
        <v>0.028</v>
      </c>
      <c r="G177" s="129" t="str">
        <f>CONCATENATE(D177," - ",E177,", ")</f>
        <v>4/core PVC Alumn. Cable scrap - 0.028, </v>
      </c>
      <c r="H177" s="256"/>
      <c r="I177" s="138" t="str">
        <f ca="1">IF(J176&gt;=3,(MID(I176,2,1)&amp;MID(I176,4,3)-K176),CELL("address",Z177))</f>
        <v>G178</v>
      </c>
      <c r="J177" s="138" t="str">
        <f ca="1">IF(J176&gt;=4,(MID(I177,1,1)&amp;MID(I177,2,3)+1),CELL("address",AA177))</f>
        <v>G179</v>
      </c>
      <c r="K177" s="138" t="str">
        <f ca="1">IF(J176&gt;=5,(MID(J177,1,1)&amp;MID(J177,2,3)+1),CELL("address",AB177))</f>
        <v>$AB$177</v>
      </c>
      <c r="L177" s="138" t="str">
        <f ca="1">IF(J176&gt;=6,(MID(K177,1,1)&amp;MID(K177,2,3)+1),CELL("address",AC177))</f>
        <v>$AC$177</v>
      </c>
      <c r="M177" s="138" t="str">
        <f ca="1">IF(J176&gt;=7,(MID(L177,1,1)&amp;MID(L177,2,3)+1),CELL("address",AD177))</f>
        <v>$AD$177</v>
      </c>
      <c r="N177" s="138" t="str">
        <f ca="1">IF(J176&gt;=8,(MID(M177,1,1)&amp;MID(M177,2,3)+1),CELL("address",AE177))</f>
        <v>$AE$177</v>
      </c>
      <c r="O177" s="138" t="str">
        <f ca="1">IF(J176&gt;=9,(MID(N177,1,1)&amp;MID(N177,2,3)+1),CELL("address",AF177))</f>
        <v>$AF$177</v>
      </c>
      <c r="P177" s="138" t="str">
        <f ca="1">IF(J176&gt;=10,(MID(O177,1,1)&amp;MID(O177,2,3)+1),CELL("address",AG177))</f>
        <v>$AG$177</v>
      </c>
      <c r="Q177" s="138" t="str">
        <f ca="1">IF(J176&gt;=11,(MID(P177,1,1)&amp;MID(P177,2,3)+1),CELL("address",AH177))</f>
        <v>$AH$177</v>
      </c>
      <c r="R177" s="138" t="str">
        <f ca="1">IF(J176&gt;=12,(MID(Q177,1,1)&amp;MID(Q177,2,3)+1),CELL("address",AI177))</f>
        <v>$AI$177</v>
      </c>
    </row>
    <row r="178" spans="1:8" ht="15" customHeight="1">
      <c r="A178" s="226"/>
      <c r="B178" s="226"/>
      <c r="C178" s="226"/>
      <c r="D178" s="51" t="s">
        <v>93</v>
      </c>
      <c r="E178" s="52">
        <v>1.54</v>
      </c>
      <c r="G178" s="129" t="str">
        <f>CONCATENATE(D178," - ",E178,", ")</f>
        <v>3/ core XLPE Alu cable scrap - 1.54, </v>
      </c>
      <c r="H178" s="142"/>
    </row>
    <row r="179" spans="1:8" ht="15" customHeight="1">
      <c r="A179" s="46"/>
      <c r="B179" s="249"/>
      <c r="C179" s="250"/>
      <c r="D179" s="88"/>
      <c r="E179" s="94"/>
      <c r="G179" s="129"/>
      <c r="H179" s="142"/>
    </row>
    <row r="180" spans="1:8" ht="15" customHeight="1">
      <c r="A180" s="46"/>
      <c r="B180" s="249"/>
      <c r="C180" s="250"/>
      <c r="D180" s="49"/>
      <c r="E180" s="50">
        <f>SUM(E182:E185)</f>
        <v>2.236</v>
      </c>
      <c r="G180" s="129"/>
      <c r="H180" s="142"/>
    </row>
    <row r="181" spans="1:18" ht="15" customHeight="1">
      <c r="A181" s="46" t="s">
        <v>5</v>
      </c>
      <c r="B181" s="233" t="s">
        <v>17</v>
      </c>
      <c r="C181" s="235"/>
      <c r="D181" s="152" t="s">
        <v>18</v>
      </c>
      <c r="E181" s="46" t="s">
        <v>7</v>
      </c>
      <c r="G181" s="131" t="str">
        <f>CONCATENATE("Cable Scrap, Lying at ",B182,". Quantity in MT - ")</f>
        <v>Cable Scrap, Lying at OL Bhagta Bhai Ka. Quantity in MT - </v>
      </c>
      <c r="H181" s="256" t="str">
        <f ca="1">CONCATENATE(G181,G182,(INDIRECT(I182)),(INDIRECT(J182)),(INDIRECT(K182)),(INDIRECT(L182)),(INDIRECT(M182)),(INDIRECT(N182)),(INDIRECT(O182)),(INDIRECT(P182)),(INDIRECT(Q182)),(INDIRECT(R182)),".")</f>
        <v>Cable Scrap, Lying at OL Bhagta Bhai Ka. Quantity in MT - 4/core PVC Alumn. Cable scrap - 1.272, 2/core PVC Alumn. Cable scrap - 0.338, 3/ core XLPE Alu cable scrap - 0.224, ABC cable scrap (150 mm) - 0.402, .</v>
      </c>
      <c r="I181" s="138" t="str">
        <f aca="true" ca="1" t="array" ref="I181">CELL("address",INDEX(G181:G206,MATCH(TRUE,ISBLANK(G181:G206),0)))</f>
        <v>$G$186</v>
      </c>
      <c r="J181" s="138">
        <f aca="true" t="array" ref="J181">MATCH(TRUE,ISBLANK(G181:G206),0)</f>
        <v>6</v>
      </c>
      <c r="K181" s="138">
        <f>J181-3</f>
        <v>3</v>
      </c>
      <c r="L181" s="138"/>
      <c r="M181" s="138"/>
      <c r="N181" s="138"/>
      <c r="O181" s="138"/>
      <c r="P181" s="138"/>
      <c r="Q181" s="138"/>
      <c r="R181" s="138"/>
    </row>
    <row r="182" spans="1:18" ht="15" customHeight="1">
      <c r="A182" s="226" t="s">
        <v>95</v>
      </c>
      <c r="B182" s="226" t="s">
        <v>101</v>
      </c>
      <c r="C182" s="226"/>
      <c r="D182" s="51" t="s">
        <v>92</v>
      </c>
      <c r="E182" s="52">
        <v>1.272</v>
      </c>
      <c r="G182" s="129" t="str">
        <f>CONCATENATE(D182," - ",E182,", ")</f>
        <v>4/core PVC Alumn. Cable scrap - 1.272, </v>
      </c>
      <c r="H182" s="256"/>
      <c r="I182" s="138" t="str">
        <f ca="1">IF(J181&gt;=3,(MID(I181,2,1)&amp;MID(I181,4,3)-K181),CELL("address",Z182))</f>
        <v>G183</v>
      </c>
      <c r="J182" s="138" t="str">
        <f ca="1">IF(J181&gt;=4,(MID(I182,1,1)&amp;MID(I182,2,3)+1),CELL("address",AA182))</f>
        <v>G184</v>
      </c>
      <c r="K182" s="138" t="str">
        <f ca="1">IF(J181&gt;=5,(MID(J182,1,1)&amp;MID(J182,2,3)+1),CELL("address",AB182))</f>
        <v>G185</v>
      </c>
      <c r="L182" s="138" t="str">
        <f ca="1">IF(J181&gt;=6,(MID(K182,1,1)&amp;MID(K182,2,3)+1),CELL("address",AC182))</f>
        <v>G186</v>
      </c>
      <c r="M182" s="138" t="str">
        <f ca="1">IF(J181&gt;=7,(MID(L182,1,1)&amp;MID(L182,2,3)+1),CELL("address",AD182))</f>
        <v>$AD$182</v>
      </c>
      <c r="N182" s="138" t="str">
        <f ca="1">IF(J181&gt;=8,(MID(M182,1,1)&amp;MID(M182,2,3)+1),CELL("address",AE182))</f>
        <v>$AE$182</v>
      </c>
      <c r="O182" s="138" t="str">
        <f ca="1">IF(J181&gt;=9,(MID(N182,1,1)&amp;MID(N182,2,3)+1),CELL("address",AF182))</f>
        <v>$AF$182</v>
      </c>
      <c r="P182" s="138" t="str">
        <f ca="1">IF(J181&gt;=10,(MID(O182,1,1)&amp;MID(O182,2,3)+1),CELL("address",AG182))</f>
        <v>$AG$182</v>
      </c>
      <c r="Q182" s="138" t="str">
        <f ca="1">IF(J181&gt;=11,(MID(P182,1,1)&amp;MID(P182,2,3)+1),CELL("address",AH182))</f>
        <v>$AH$182</v>
      </c>
      <c r="R182" s="138" t="str">
        <f ca="1">IF(J181&gt;=12,(MID(Q182,1,1)&amp;MID(Q182,2,3)+1),CELL("address",AI182))</f>
        <v>$AI$182</v>
      </c>
    </row>
    <row r="183" spans="1:8" ht="15" customHeight="1">
      <c r="A183" s="226"/>
      <c r="B183" s="226"/>
      <c r="C183" s="226"/>
      <c r="D183" s="51" t="s">
        <v>91</v>
      </c>
      <c r="E183" s="94">
        <v>0.338</v>
      </c>
      <c r="G183" s="129" t="str">
        <f>CONCATENATE(D183," - ",E183,", ")</f>
        <v>2/core PVC Alumn. Cable scrap - 0.338, </v>
      </c>
      <c r="H183" s="142"/>
    </row>
    <row r="184" spans="1:8" ht="15" customHeight="1">
      <c r="A184" s="226"/>
      <c r="B184" s="226"/>
      <c r="C184" s="226"/>
      <c r="D184" s="51" t="s">
        <v>93</v>
      </c>
      <c r="E184" s="94">
        <v>0.224</v>
      </c>
      <c r="G184" s="129" t="str">
        <f>CONCATENATE(D184," - ",E184,", ")</f>
        <v>3/ core XLPE Alu cable scrap - 0.224, </v>
      </c>
      <c r="H184" s="142"/>
    </row>
    <row r="185" spans="1:8" ht="15" customHeight="1">
      <c r="A185" s="226"/>
      <c r="B185" s="226"/>
      <c r="C185" s="226"/>
      <c r="D185" s="51" t="s">
        <v>248</v>
      </c>
      <c r="E185" s="94">
        <v>0.402</v>
      </c>
      <c r="G185" s="129" t="str">
        <f>CONCATENATE(D185," - ",E185,", ")</f>
        <v>ABC cable scrap (150 mm) - 0.402, </v>
      </c>
      <c r="H185" s="142"/>
    </row>
    <row r="186" spans="1:8" ht="15" customHeight="1">
      <c r="A186" s="45"/>
      <c r="B186" s="47"/>
      <c r="C186" s="48"/>
      <c r="D186" s="88"/>
      <c r="E186" s="94"/>
      <c r="G186" s="129"/>
      <c r="H186" s="142"/>
    </row>
    <row r="187" spans="1:8" ht="15" customHeight="1">
      <c r="A187" s="46"/>
      <c r="B187" s="249"/>
      <c r="C187" s="250"/>
      <c r="D187" s="180"/>
      <c r="E187" s="59">
        <f>SUM(E189:E193)</f>
        <v>10.222000000000001</v>
      </c>
      <c r="G187" s="131"/>
      <c r="H187" s="142"/>
    </row>
    <row r="188" spans="1:18" ht="15" customHeight="1">
      <c r="A188" s="46" t="s">
        <v>5</v>
      </c>
      <c r="B188" s="226" t="s">
        <v>17</v>
      </c>
      <c r="C188" s="226"/>
      <c r="D188" s="179" t="s">
        <v>18</v>
      </c>
      <c r="E188" s="46" t="s">
        <v>7</v>
      </c>
      <c r="G188" s="131" t="str">
        <f>CONCATENATE("Cable Scrap, Lying at ",B189,". Quantity in MT - ")</f>
        <v>Cable Scrap, Lying at CS Bathinda. Quantity in MT - </v>
      </c>
      <c r="H188" s="256" t="str">
        <f ca="1">CONCATENATE(G188,G189,(INDIRECT(I189)),(INDIRECT(J189)),(INDIRECT(K189)),(INDIRECT(L189)),(INDIRECT(M189)),(INDIRECT(N189)),(INDIRECT(O189)),(INDIRECT(P189)),(INDIRECT(Q189)),(INDIRECT(R189)),".")</f>
        <v>Cable Scrap, Lying at CS Bathinda. Quantity in MT - 2/core PVC Alumn. Cable scrap - 0.157, 4/core PVC Alumn. Cable scrap - 1.299, 1/ core XLPE Alu cable scrap - 0.143, 3/ core XLPE Alu cable scrap - 3.689, ABC cable scrap (70/95 mm) - 4.934, .</v>
      </c>
      <c r="I188" s="138" t="str">
        <f aca="true" ca="1" t="array" ref="I188">CELL("address",INDEX(G188:G211,MATCH(TRUE,ISBLANK(G188:G211),0)))</f>
        <v>$G$194</v>
      </c>
      <c r="J188" s="138">
        <f aca="true" t="array" ref="J188">MATCH(TRUE,ISBLANK(G188:G211),0)</f>
        <v>7</v>
      </c>
      <c r="K188" s="138">
        <f>J188-3</f>
        <v>4</v>
      </c>
      <c r="L188" s="138"/>
      <c r="M188" s="138"/>
      <c r="N188" s="138"/>
      <c r="O188" s="138"/>
      <c r="P188" s="138"/>
      <c r="Q188" s="138"/>
      <c r="R188" s="138"/>
    </row>
    <row r="189" spans="1:18" ht="15" customHeight="1">
      <c r="A189" s="226" t="s">
        <v>97</v>
      </c>
      <c r="B189" s="226" t="s">
        <v>64</v>
      </c>
      <c r="C189" s="226"/>
      <c r="D189" s="51" t="s">
        <v>91</v>
      </c>
      <c r="E189" s="52">
        <v>0.157</v>
      </c>
      <c r="G189" s="129" t="str">
        <f>CONCATENATE(D189," - ",E189,", ")</f>
        <v>2/core PVC Alumn. Cable scrap - 0.157, </v>
      </c>
      <c r="H189" s="256"/>
      <c r="I189" s="138" t="str">
        <f ca="1">IF(J188&gt;=3,(MID(I188,2,1)&amp;MID(I188,4,3)-K188),CELL("address",Z189))</f>
        <v>G190</v>
      </c>
      <c r="J189" s="138" t="str">
        <f ca="1">IF(J188&gt;=4,(MID(I189,1,1)&amp;MID(I189,2,3)+1),CELL("address",AA189))</f>
        <v>G191</v>
      </c>
      <c r="K189" s="138" t="str">
        <f ca="1">IF(J188&gt;=5,(MID(J189,1,1)&amp;MID(J189,2,3)+1),CELL("address",AB189))</f>
        <v>G192</v>
      </c>
      <c r="L189" s="138" t="str">
        <f ca="1">IF(J188&gt;=6,(MID(K189,1,1)&amp;MID(K189,2,3)+1),CELL("address",AC189))</f>
        <v>G193</v>
      </c>
      <c r="M189" s="138" t="str">
        <f ca="1">IF(J188&gt;=7,(MID(L189,1,1)&amp;MID(L189,2,3)+1),CELL("address",AD189))</f>
        <v>G194</v>
      </c>
      <c r="N189" s="138" t="str">
        <f ca="1">IF(J188&gt;=8,(MID(M189,1,1)&amp;MID(M189,2,3)+1),CELL("address",AE189))</f>
        <v>$AE$189</v>
      </c>
      <c r="O189" s="138" t="str">
        <f ca="1">IF(J188&gt;=9,(MID(N189,1,1)&amp;MID(N189,2,3)+1),CELL("address",AF189))</f>
        <v>$AF$189</v>
      </c>
      <c r="P189" s="138" t="str">
        <f ca="1">IF(J188&gt;=10,(MID(O189,1,1)&amp;MID(O189,2,3)+1),CELL("address",AG189))</f>
        <v>$AG$189</v>
      </c>
      <c r="Q189" s="138" t="str">
        <f ca="1">IF(J188&gt;=11,(MID(P189,1,1)&amp;MID(P189,2,3)+1),CELL("address",AH189))</f>
        <v>$AH$189</v>
      </c>
      <c r="R189" s="138" t="str">
        <f ca="1">IF(J188&gt;=12,(MID(Q189,1,1)&amp;MID(Q189,2,3)+1),CELL("address",AI189))</f>
        <v>$AI$189</v>
      </c>
    </row>
    <row r="190" spans="1:8" ht="15" customHeight="1">
      <c r="A190" s="226"/>
      <c r="B190" s="226"/>
      <c r="C190" s="226"/>
      <c r="D190" s="51" t="s">
        <v>92</v>
      </c>
      <c r="E190" s="52">
        <v>1.299</v>
      </c>
      <c r="G190" s="129" t="str">
        <f>CONCATENATE(D190," - ",E190,", ")</f>
        <v>4/core PVC Alumn. Cable scrap - 1.299, </v>
      </c>
      <c r="H190" s="142"/>
    </row>
    <row r="191" spans="1:8" ht="15" customHeight="1">
      <c r="A191" s="226"/>
      <c r="B191" s="226"/>
      <c r="C191" s="226"/>
      <c r="D191" s="51" t="s">
        <v>98</v>
      </c>
      <c r="E191" s="53">
        <v>0.143</v>
      </c>
      <c r="G191" s="129" t="str">
        <f>CONCATENATE(D191," - ",E191,", ")</f>
        <v>1/ core XLPE Alu cable scrap - 0.143, </v>
      </c>
      <c r="H191" s="142"/>
    </row>
    <row r="192" spans="1:8" ht="15" customHeight="1">
      <c r="A192" s="226"/>
      <c r="B192" s="226"/>
      <c r="C192" s="226"/>
      <c r="D192" s="51" t="s">
        <v>93</v>
      </c>
      <c r="E192" s="89">
        <v>3.689</v>
      </c>
      <c r="G192" s="129" t="str">
        <f>CONCATENATE(D192," - ",E192,", ")</f>
        <v>3/ core XLPE Alu cable scrap - 3.689, </v>
      </c>
      <c r="H192" s="142"/>
    </row>
    <row r="193" spans="1:8" ht="15" customHeight="1">
      <c r="A193" s="226"/>
      <c r="B193" s="226"/>
      <c r="C193" s="226"/>
      <c r="D193" s="51" t="s">
        <v>169</v>
      </c>
      <c r="E193" s="89">
        <v>4.934</v>
      </c>
      <c r="G193" s="129" t="str">
        <f>CONCATENATE(D193," - ",E193,", ")</f>
        <v>ABC cable scrap (70/95 mm) - 4.934, </v>
      </c>
      <c r="H193" s="142"/>
    </row>
    <row r="194" spans="1:8" ht="15" customHeight="1">
      <c r="A194" s="45"/>
      <c r="B194" s="47"/>
      <c r="C194" s="48"/>
      <c r="D194" s="95"/>
      <c r="E194" s="96"/>
      <c r="G194" s="129"/>
      <c r="H194" s="142"/>
    </row>
    <row r="195" spans="1:8" ht="15" customHeight="1">
      <c r="A195" s="45"/>
      <c r="B195" s="187"/>
      <c r="C195" s="188"/>
      <c r="D195" s="49"/>
      <c r="E195" s="50">
        <f>SUM(E197:E199)</f>
        <v>2.904</v>
      </c>
      <c r="G195" s="129"/>
      <c r="H195" s="142"/>
    </row>
    <row r="196" spans="1:18" ht="15" customHeight="1">
      <c r="A196" s="46" t="s">
        <v>5</v>
      </c>
      <c r="B196" s="233" t="s">
        <v>17</v>
      </c>
      <c r="C196" s="235"/>
      <c r="D196" s="182" t="s">
        <v>18</v>
      </c>
      <c r="E196" s="46" t="s">
        <v>7</v>
      </c>
      <c r="G196" s="131" t="str">
        <f>CONCATENATE("Cable Scrap, Lying at ",B197,". Quantity in MT - ")</f>
        <v>Cable Scrap, Lying at OL Mansa. Quantity in MT - </v>
      </c>
      <c r="H196" s="256" t="str">
        <f ca="1">CONCATENATE(G196,G197,(INDIRECT(I197)),(INDIRECT(J197)),(INDIRECT(K197)),(INDIRECT(L197)),(INDIRECT(M197)),(INDIRECT(N197)),(INDIRECT(O197)),(INDIRECT(P197)),(INDIRECT(Q197)),(INDIRECT(R197)),".")</f>
        <v>Cable Scrap, Lying at OL Mansa. Quantity in MT - 2/core PVC Alumn. Cable scrap - 0.369, 4/core PVC Alumn. Cable scrap - 1.149, 3/ core XLPE Alu cable scrap - 1.386, .</v>
      </c>
      <c r="I196" s="138" t="str">
        <f aca="true" ca="1" t="array" ref="I196">CELL("address",INDEX(G196:G218,MATCH(TRUE,ISBLANK(G196:G218),0)))</f>
        <v>$G$200</v>
      </c>
      <c r="J196" s="138">
        <f aca="true" t="array" ref="J196">MATCH(TRUE,ISBLANK(G196:G218),0)</f>
        <v>5</v>
      </c>
      <c r="K196" s="138">
        <f>J196-3</f>
        <v>2</v>
      </c>
      <c r="L196" s="138"/>
      <c r="M196" s="138"/>
      <c r="N196" s="138"/>
      <c r="O196" s="138"/>
      <c r="P196" s="138"/>
      <c r="Q196" s="138"/>
      <c r="R196" s="138"/>
    </row>
    <row r="197" spans="1:18" ht="15" customHeight="1">
      <c r="A197" s="226" t="s">
        <v>187</v>
      </c>
      <c r="B197" s="226" t="s">
        <v>60</v>
      </c>
      <c r="C197" s="226"/>
      <c r="D197" s="51" t="s">
        <v>91</v>
      </c>
      <c r="E197" s="52">
        <v>0.369</v>
      </c>
      <c r="G197" s="129" t="str">
        <f>CONCATENATE(D197," - ",E197,", ")</f>
        <v>2/core PVC Alumn. Cable scrap - 0.369, </v>
      </c>
      <c r="H197" s="256"/>
      <c r="I197" s="138" t="str">
        <f ca="1">IF(J196&gt;=3,(MID(I196,2,1)&amp;MID(I196,4,3)-K196),CELL("address",Z197))</f>
        <v>G198</v>
      </c>
      <c r="J197" s="138" t="str">
        <f ca="1">IF(J196&gt;=4,(MID(I197,1,1)&amp;MID(I197,2,3)+1),CELL("address",AA197))</f>
        <v>G199</v>
      </c>
      <c r="K197" s="138" t="str">
        <f ca="1">IF(J196&gt;=5,(MID(J197,1,1)&amp;MID(J197,2,3)+1),CELL("address",AB197))</f>
        <v>G200</v>
      </c>
      <c r="L197" s="138" t="str">
        <f ca="1">IF(J196&gt;=6,(MID(K197,1,1)&amp;MID(K197,2,3)+1),CELL("address",AC197))</f>
        <v>$AC$197</v>
      </c>
      <c r="M197" s="138" t="str">
        <f ca="1">IF(J196&gt;=7,(MID(L197,1,1)&amp;MID(L197,2,3)+1),CELL("address",AD197))</f>
        <v>$AD$197</v>
      </c>
      <c r="N197" s="138" t="str">
        <f ca="1">IF(J196&gt;=8,(MID(M197,1,1)&amp;MID(M197,2,3)+1),CELL("address",AE197))</f>
        <v>$AE$197</v>
      </c>
      <c r="O197" s="138" t="str">
        <f ca="1">IF(J196&gt;=9,(MID(N197,1,1)&amp;MID(N197,2,3)+1),CELL("address",AF197))</f>
        <v>$AF$197</v>
      </c>
      <c r="P197" s="138" t="str">
        <f ca="1">IF(J196&gt;=10,(MID(O197,1,1)&amp;MID(O197,2,3)+1),CELL("address",AG197))</f>
        <v>$AG$197</v>
      </c>
      <c r="Q197" s="138" t="str">
        <f ca="1">IF(J196&gt;=11,(MID(P197,1,1)&amp;MID(P197,2,3)+1),CELL("address",AH197))</f>
        <v>$AH$197</v>
      </c>
      <c r="R197" s="138" t="str">
        <f ca="1">IF(J196&gt;=12,(MID(Q197,1,1)&amp;MID(Q197,2,3)+1),CELL("address",AI197))</f>
        <v>$AI$197</v>
      </c>
    </row>
    <row r="198" spans="1:8" ht="15" customHeight="1">
      <c r="A198" s="226"/>
      <c r="B198" s="226"/>
      <c r="C198" s="226"/>
      <c r="D198" s="51" t="s">
        <v>92</v>
      </c>
      <c r="E198" s="52">
        <v>1.149</v>
      </c>
      <c r="G198" s="129" t="str">
        <f>CONCATENATE(D198," - ",E198,", ")</f>
        <v>4/core PVC Alumn. Cable scrap - 1.149, </v>
      </c>
      <c r="H198" s="142"/>
    </row>
    <row r="199" spans="1:8" ht="15" customHeight="1">
      <c r="A199" s="226"/>
      <c r="B199" s="226"/>
      <c r="C199" s="226"/>
      <c r="D199" s="51" t="s">
        <v>93</v>
      </c>
      <c r="E199" s="52">
        <v>1.386</v>
      </c>
      <c r="G199" s="129" t="str">
        <f>CONCATENATE(D199," - ",E199,", ")</f>
        <v>3/ core XLPE Alu cable scrap - 1.386, </v>
      </c>
      <c r="H199" s="142"/>
    </row>
    <row r="200" spans="1:8" ht="15" customHeight="1">
      <c r="A200" s="45"/>
      <c r="B200" s="47"/>
      <c r="C200" s="48"/>
      <c r="D200" s="95"/>
      <c r="E200" s="96"/>
      <c r="G200" s="129"/>
      <c r="H200" s="142"/>
    </row>
    <row r="201" spans="1:8" ht="15" customHeight="1">
      <c r="A201" s="45"/>
      <c r="B201" s="187"/>
      <c r="C201" s="188"/>
      <c r="D201" s="49"/>
      <c r="E201" s="50">
        <f>SUM(E203:E205)</f>
        <v>4.282</v>
      </c>
      <c r="G201" s="129"/>
      <c r="H201" s="142"/>
    </row>
    <row r="202" spans="1:18" ht="15" customHeight="1">
      <c r="A202" s="46" t="s">
        <v>5</v>
      </c>
      <c r="B202" s="233" t="s">
        <v>17</v>
      </c>
      <c r="C202" s="235"/>
      <c r="D202" s="182" t="s">
        <v>18</v>
      </c>
      <c r="E202" s="46" t="s">
        <v>7</v>
      </c>
      <c r="G202" s="131" t="str">
        <f>CONCATENATE("Cable Scrap, Lying at ",B203,". Quantity in MT - ")</f>
        <v>Cable Scrap, Lying at CS Kotkapura. Quantity in MT - </v>
      </c>
      <c r="H202" s="256" t="str">
        <f ca="1">CONCATENATE(G202,G203,(INDIRECT(I203)),(INDIRECT(J203)),(INDIRECT(K203)),(INDIRECT(L203)),(INDIRECT(M203)),(INDIRECT(N203)),(INDIRECT(O203)),(INDIRECT(P203)),(INDIRECT(Q203)),(INDIRECT(R203)),".")</f>
        <v>Cable Scrap, Lying at CS Kotkapura. Quantity in MT - 2/core PVC Alumn. Cable scrap - 0.832, 4/core PVC Alumn. Cable scrap - 1.556, 3/ core XLPE Alu cable scrap - 1.894, .</v>
      </c>
      <c r="I202" s="138" t="str">
        <f aca="true" ca="1" t="array" ref="I202">CELL("address",INDEX(G202:G225,MATCH(TRUE,ISBLANK(G202:G225),0)))</f>
        <v>$G$206</v>
      </c>
      <c r="J202" s="138">
        <f aca="true" t="array" ref="J202">MATCH(TRUE,ISBLANK(G202:G225),0)</f>
        <v>5</v>
      </c>
      <c r="K202" s="138">
        <f>J202-3</f>
        <v>2</v>
      </c>
      <c r="L202" s="138"/>
      <c r="M202" s="138"/>
      <c r="N202" s="138"/>
      <c r="O202" s="138"/>
      <c r="P202" s="138"/>
      <c r="Q202" s="138"/>
      <c r="R202" s="138"/>
    </row>
    <row r="203" spans="1:18" ht="15" customHeight="1">
      <c r="A203" s="226" t="s">
        <v>189</v>
      </c>
      <c r="B203" s="226" t="s">
        <v>43</v>
      </c>
      <c r="C203" s="226"/>
      <c r="D203" s="51" t="s">
        <v>91</v>
      </c>
      <c r="E203" s="52">
        <v>0.832</v>
      </c>
      <c r="G203" s="129" t="str">
        <f>CONCATENATE(D203," - ",E203,", ")</f>
        <v>2/core PVC Alumn. Cable scrap - 0.832, </v>
      </c>
      <c r="H203" s="256"/>
      <c r="I203" s="138" t="str">
        <f ca="1">IF(J202&gt;=3,(MID(I202,2,1)&amp;MID(I202,4,3)-K202),CELL("address",Z203))</f>
        <v>G204</v>
      </c>
      <c r="J203" s="138" t="str">
        <f ca="1">IF(J202&gt;=4,(MID(I203,1,1)&amp;MID(I203,2,3)+1),CELL("address",AA203))</f>
        <v>G205</v>
      </c>
      <c r="K203" s="138" t="str">
        <f ca="1">IF(J202&gt;=5,(MID(J203,1,1)&amp;MID(J203,2,3)+1),CELL("address",AB203))</f>
        <v>G206</v>
      </c>
      <c r="L203" s="138" t="str">
        <f ca="1">IF(J202&gt;=6,(MID(K203,1,1)&amp;MID(K203,2,3)+1),CELL("address",AC203))</f>
        <v>$AC$203</v>
      </c>
      <c r="M203" s="138" t="str">
        <f ca="1">IF(J202&gt;=7,(MID(L203,1,1)&amp;MID(L203,2,3)+1),CELL("address",AD203))</f>
        <v>$AD$203</v>
      </c>
      <c r="N203" s="138" t="str">
        <f ca="1">IF(J202&gt;=8,(MID(M203,1,1)&amp;MID(M203,2,3)+1),CELL("address",AE203))</f>
        <v>$AE$203</v>
      </c>
      <c r="O203" s="138" t="str">
        <f ca="1">IF(J202&gt;=9,(MID(N203,1,1)&amp;MID(N203,2,3)+1),CELL("address",AF203))</f>
        <v>$AF$203</v>
      </c>
      <c r="P203" s="138" t="str">
        <f ca="1">IF(J202&gt;=10,(MID(O203,1,1)&amp;MID(O203,2,3)+1),CELL("address",AG203))</f>
        <v>$AG$203</v>
      </c>
      <c r="Q203" s="138" t="str">
        <f ca="1">IF(J202&gt;=11,(MID(P203,1,1)&amp;MID(P203,2,3)+1),CELL("address",AH203))</f>
        <v>$AH$203</v>
      </c>
      <c r="R203" s="138" t="str">
        <f ca="1">IF(J202&gt;=12,(MID(Q203,1,1)&amp;MID(Q203,2,3)+1),CELL("address",AI203))</f>
        <v>$AI$203</v>
      </c>
    </row>
    <row r="204" spans="1:8" ht="15" customHeight="1">
      <c r="A204" s="226"/>
      <c r="B204" s="226"/>
      <c r="C204" s="226"/>
      <c r="D204" s="51" t="s">
        <v>92</v>
      </c>
      <c r="E204" s="52">
        <v>1.556</v>
      </c>
      <c r="G204" s="129" t="str">
        <f>CONCATENATE(D204," - ",E204,", ")</f>
        <v>4/core PVC Alumn. Cable scrap - 1.556, </v>
      </c>
      <c r="H204" s="142"/>
    </row>
    <row r="205" spans="1:8" ht="15" customHeight="1">
      <c r="A205" s="226"/>
      <c r="B205" s="226"/>
      <c r="C205" s="226"/>
      <c r="D205" s="51" t="s">
        <v>93</v>
      </c>
      <c r="E205" s="53">
        <v>1.894</v>
      </c>
      <c r="G205" s="129" t="str">
        <f>CONCATENATE(D205," - ",E205,", ")</f>
        <v>3/ core XLPE Alu cable scrap - 1.894, </v>
      </c>
      <c r="H205" s="142"/>
    </row>
    <row r="206" spans="1:8" ht="15" customHeight="1">
      <c r="A206" s="45"/>
      <c r="B206" s="47"/>
      <c r="C206" s="48"/>
      <c r="D206" s="39"/>
      <c r="E206" s="55"/>
      <c r="G206" s="129"/>
      <c r="H206" s="142"/>
    </row>
    <row r="207" spans="1:8" ht="15" customHeight="1">
      <c r="A207" s="45"/>
      <c r="B207" s="187"/>
      <c r="C207" s="188"/>
      <c r="D207" s="49"/>
      <c r="E207" s="50">
        <f>SUM(E209:E212)</f>
        <v>2.9200000000000004</v>
      </c>
      <c r="G207" s="129"/>
      <c r="H207" s="142"/>
    </row>
    <row r="208" spans="1:18" ht="15" customHeight="1">
      <c r="A208" s="46" t="s">
        <v>5</v>
      </c>
      <c r="B208" s="233" t="s">
        <v>17</v>
      </c>
      <c r="C208" s="235"/>
      <c r="D208" s="182" t="s">
        <v>18</v>
      </c>
      <c r="E208" s="46" t="s">
        <v>7</v>
      </c>
      <c r="G208" s="131" t="str">
        <f>CONCATENATE("Cable Scrap, Lying at ",B209,". Quantity in MT - ")</f>
        <v>Cable Scrap, Lying at OL Patran. Quantity in MT - </v>
      </c>
      <c r="H208" s="256" t="str">
        <f ca="1">CONCATENATE(G208,G209,(INDIRECT(I209)),(INDIRECT(J209)),(INDIRECT(K209)),(INDIRECT(L209)),(INDIRECT(M209)),(INDIRECT(N209)),(INDIRECT(O209)),(INDIRECT(P209)),(INDIRECT(Q209)),(INDIRECT(R209)),".")</f>
        <v>Cable Scrap, Lying at OL Patran. Quantity in MT - 2/core PVC Alumn. Cable scrap - 0.435, 4/core PVC Alumn. Cable scrap - 0.745, 3/ core XLPE Alu cable scrap - 1.475, ABC cable scrap (150 mm) - 0.265, .</v>
      </c>
      <c r="I208" s="138" t="str">
        <f aca="true" ca="1" t="array" ref="I208">CELL("address",INDEX(G208:G231,MATCH(TRUE,ISBLANK(G208:G231),0)))</f>
        <v>$G$213</v>
      </c>
      <c r="J208" s="138">
        <f aca="true" t="array" ref="J208">MATCH(TRUE,ISBLANK(G208:G231),0)</f>
        <v>6</v>
      </c>
      <c r="K208" s="138">
        <f>J208-3</f>
        <v>3</v>
      </c>
      <c r="L208" s="138"/>
      <c r="M208" s="138"/>
      <c r="N208" s="138"/>
      <c r="O208" s="138"/>
      <c r="P208" s="138"/>
      <c r="Q208" s="138"/>
      <c r="R208" s="138"/>
    </row>
    <row r="209" spans="1:18" ht="15" customHeight="1">
      <c r="A209" s="226" t="s">
        <v>168</v>
      </c>
      <c r="B209" s="226" t="s">
        <v>103</v>
      </c>
      <c r="C209" s="226"/>
      <c r="D209" s="51" t="s">
        <v>91</v>
      </c>
      <c r="E209" s="52">
        <v>0.435</v>
      </c>
      <c r="G209" s="129" t="str">
        <f>CONCATENATE(D209," - ",E209,", ")</f>
        <v>2/core PVC Alumn. Cable scrap - 0.435, </v>
      </c>
      <c r="H209" s="256"/>
      <c r="I209" s="138" t="str">
        <f ca="1">IF(J208&gt;=3,(MID(I208,2,1)&amp;MID(I208,4,3)-K208),CELL("address",Z209))</f>
        <v>G210</v>
      </c>
      <c r="J209" s="138" t="str">
        <f ca="1">IF(J208&gt;=4,(MID(I209,1,1)&amp;MID(I209,2,3)+1),CELL("address",AA209))</f>
        <v>G211</v>
      </c>
      <c r="K209" s="138" t="str">
        <f ca="1">IF(J208&gt;=5,(MID(J209,1,1)&amp;MID(J209,2,3)+1),CELL("address",AB209))</f>
        <v>G212</v>
      </c>
      <c r="L209" s="138" t="str">
        <f ca="1">IF(J208&gt;=6,(MID(K209,1,1)&amp;MID(K209,2,3)+1),CELL("address",AC209))</f>
        <v>G213</v>
      </c>
      <c r="M209" s="138" t="str">
        <f ca="1">IF(J208&gt;=7,(MID(L209,1,1)&amp;MID(L209,2,3)+1),CELL("address",AD209))</f>
        <v>$AD$209</v>
      </c>
      <c r="N209" s="138" t="str">
        <f ca="1">IF(J208&gt;=8,(MID(M209,1,1)&amp;MID(M209,2,3)+1),CELL("address",AE209))</f>
        <v>$AE$209</v>
      </c>
      <c r="O209" s="138" t="str">
        <f ca="1">IF(J208&gt;=9,(MID(N209,1,1)&amp;MID(N209,2,3)+1),CELL("address",AF209))</f>
        <v>$AF$209</v>
      </c>
      <c r="P209" s="138" t="str">
        <f ca="1">IF(J208&gt;=10,(MID(O209,1,1)&amp;MID(O209,2,3)+1),CELL("address",AG209))</f>
        <v>$AG$209</v>
      </c>
      <c r="Q209" s="138" t="str">
        <f ca="1">IF(J208&gt;=11,(MID(P209,1,1)&amp;MID(P209,2,3)+1),CELL("address",AH209))</f>
        <v>$AH$209</v>
      </c>
      <c r="R209" s="138" t="str">
        <f ca="1">IF(J208&gt;=12,(MID(Q209,1,1)&amp;MID(Q209,2,3)+1),CELL("address",AI209))</f>
        <v>$AI$209</v>
      </c>
    </row>
    <row r="210" spans="1:8" ht="15" customHeight="1">
      <c r="A210" s="226"/>
      <c r="B210" s="226"/>
      <c r="C210" s="226"/>
      <c r="D210" s="51" t="s">
        <v>92</v>
      </c>
      <c r="E210" s="52">
        <v>0.745</v>
      </c>
      <c r="G210" s="129" t="str">
        <f>CONCATENATE(D210," - ",E210,", ")</f>
        <v>4/core PVC Alumn. Cable scrap - 0.745, </v>
      </c>
      <c r="H210" s="143"/>
    </row>
    <row r="211" spans="1:8" ht="15" customHeight="1">
      <c r="A211" s="226"/>
      <c r="B211" s="226"/>
      <c r="C211" s="226"/>
      <c r="D211" s="51" t="s">
        <v>93</v>
      </c>
      <c r="E211" s="52">
        <v>1.475</v>
      </c>
      <c r="G211" s="129" t="str">
        <f>CONCATENATE(D211," - ",E211,", ")</f>
        <v>3/ core XLPE Alu cable scrap - 1.475, </v>
      </c>
      <c r="H211" s="142"/>
    </row>
    <row r="212" spans="1:8" ht="15" customHeight="1">
      <c r="A212" s="226"/>
      <c r="B212" s="226"/>
      <c r="C212" s="226"/>
      <c r="D212" s="51" t="s">
        <v>248</v>
      </c>
      <c r="E212" s="52">
        <v>0.265</v>
      </c>
      <c r="G212" s="129" t="str">
        <f>CONCATENATE(D212," - ",E212,", ")</f>
        <v>ABC cable scrap (150 mm) - 0.265, </v>
      </c>
      <c r="H212" s="142"/>
    </row>
    <row r="213" spans="1:8" ht="15" customHeight="1">
      <c r="A213" s="45"/>
      <c r="B213" s="47"/>
      <c r="C213" s="48"/>
      <c r="D213" s="39"/>
      <c r="E213" s="55"/>
      <c r="G213" s="129"/>
      <c r="H213" s="142"/>
    </row>
    <row r="214" spans="1:8" ht="15" customHeight="1">
      <c r="A214" s="45"/>
      <c r="B214" s="54"/>
      <c r="C214" s="183"/>
      <c r="D214" s="180"/>
      <c r="E214" s="103">
        <f>SUM(E216:E219)</f>
        <v>1.907</v>
      </c>
      <c r="G214" s="131"/>
      <c r="H214" s="142"/>
    </row>
    <row r="215" spans="1:18" ht="15" customHeight="1">
      <c r="A215" s="46" t="s">
        <v>5</v>
      </c>
      <c r="B215" s="233" t="s">
        <v>17</v>
      </c>
      <c r="C215" s="235"/>
      <c r="D215" s="182" t="s">
        <v>18</v>
      </c>
      <c r="E215" s="46" t="s">
        <v>7</v>
      </c>
      <c r="G215" s="131" t="str">
        <f>CONCATENATE("Cable Scrap, Lying at ",B216,". Quantity in MT - ")</f>
        <v>Cable Scrap, Lying at OL Ropar. Quantity in MT - </v>
      </c>
      <c r="H215" s="256" t="str">
        <f ca="1">CONCATENATE(G215,G216,(INDIRECT(I216)),(INDIRECT(J216)),(INDIRECT(K216)),(INDIRECT(L216)),(INDIRECT(M216)),(INDIRECT(N216)),(INDIRECT(O216)),(INDIRECT(P216)),(INDIRECT(Q216)),(INDIRECT(R216)),".")</f>
        <v>Cable Scrap, Lying at OL Ropar. Quantity in MT - 2/core PVC Alumn. Cable scrap - 0.203, 4/core PVC Alumn. Cable scrap - 0.327, 3/ core XLPE Alu cable scrap - 1.36, 1/core PVC Alumn. Cable scrap - 0.017, .</v>
      </c>
      <c r="I215" s="138" t="str">
        <f aca="true" ca="1" t="array" ref="I215">CELL("address",INDEX(G215:G238,MATCH(TRUE,ISBLANK(G215:G238),0)))</f>
        <v>$G$220</v>
      </c>
      <c r="J215" s="138">
        <f aca="true" t="array" ref="J215">MATCH(TRUE,ISBLANK(G215:G238),0)</f>
        <v>6</v>
      </c>
      <c r="K215" s="138">
        <f>J215-3</f>
        <v>3</v>
      </c>
      <c r="L215" s="138"/>
      <c r="M215" s="138"/>
      <c r="N215" s="138"/>
      <c r="O215" s="138"/>
      <c r="P215" s="138"/>
      <c r="Q215" s="138"/>
      <c r="R215" s="138"/>
    </row>
    <row r="216" spans="1:18" ht="15" customHeight="1">
      <c r="A216" s="226" t="s">
        <v>170</v>
      </c>
      <c r="B216" s="226" t="s">
        <v>99</v>
      </c>
      <c r="C216" s="226"/>
      <c r="D216" s="51" t="s">
        <v>91</v>
      </c>
      <c r="E216" s="53">
        <v>0.203</v>
      </c>
      <c r="G216" s="129" t="str">
        <f>CONCATENATE(D216," - ",E216,", ")</f>
        <v>2/core PVC Alumn. Cable scrap - 0.203, </v>
      </c>
      <c r="H216" s="256"/>
      <c r="I216" s="138" t="str">
        <f ca="1">IF(J215&gt;=3,(MID(I215,2,1)&amp;MID(I215,4,3)-K215),CELL("address",Z216))</f>
        <v>G217</v>
      </c>
      <c r="J216" s="138" t="str">
        <f ca="1">IF(J215&gt;=4,(MID(I216,1,1)&amp;MID(I216,2,3)+1),CELL("address",AA216))</f>
        <v>G218</v>
      </c>
      <c r="K216" s="138" t="str">
        <f ca="1">IF(J215&gt;=5,(MID(J216,1,1)&amp;MID(J216,2,3)+1),CELL("address",AB216))</f>
        <v>G219</v>
      </c>
      <c r="L216" s="138" t="str">
        <f ca="1">IF(J215&gt;=6,(MID(K216,1,1)&amp;MID(K216,2,3)+1),CELL("address",AC216))</f>
        <v>G220</v>
      </c>
      <c r="M216" s="138" t="str">
        <f ca="1">IF(J215&gt;=7,(MID(L216,1,1)&amp;MID(L216,2,3)+1),CELL("address",AD216))</f>
        <v>$AD$216</v>
      </c>
      <c r="N216" s="138" t="str">
        <f ca="1">IF(J215&gt;=8,(MID(M216,1,1)&amp;MID(M216,2,3)+1),CELL("address",AE216))</f>
        <v>$AE$216</v>
      </c>
      <c r="O216" s="138" t="str">
        <f ca="1">IF(J215&gt;=9,(MID(N216,1,1)&amp;MID(N216,2,3)+1),CELL("address",AF216))</f>
        <v>$AF$216</v>
      </c>
      <c r="P216" s="138" t="str">
        <f ca="1">IF(J215&gt;=10,(MID(O216,1,1)&amp;MID(O216,2,3)+1),CELL("address",AG216))</f>
        <v>$AG$216</v>
      </c>
      <c r="Q216" s="138" t="str">
        <f ca="1">IF(J215&gt;=11,(MID(P216,1,1)&amp;MID(P216,2,3)+1),CELL("address",AH216))</f>
        <v>$AH$216</v>
      </c>
      <c r="R216" s="138" t="str">
        <f ca="1">IF(J215&gt;=12,(MID(Q216,1,1)&amp;MID(Q216,2,3)+1),CELL("address",AI216))</f>
        <v>$AI$216</v>
      </c>
    </row>
    <row r="217" spans="1:8" ht="15" customHeight="1">
      <c r="A217" s="226"/>
      <c r="B217" s="226"/>
      <c r="C217" s="226"/>
      <c r="D217" s="51" t="s">
        <v>92</v>
      </c>
      <c r="E217" s="53">
        <v>0.327</v>
      </c>
      <c r="G217" s="129" t="str">
        <f>CONCATENATE(D217," - ",E217,", ")</f>
        <v>4/core PVC Alumn. Cable scrap - 0.327, </v>
      </c>
      <c r="H217" s="142"/>
    </row>
    <row r="218" spans="1:8" ht="15" customHeight="1">
      <c r="A218" s="226"/>
      <c r="B218" s="226"/>
      <c r="C218" s="226"/>
      <c r="D218" s="51" t="s">
        <v>93</v>
      </c>
      <c r="E218" s="53">
        <v>1.36</v>
      </c>
      <c r="G218" s="129" t="str">
        <f>CONCATENATE(D218," - ",E218,", ")</f>
        <v>3/ core XLPE Alu cable scrap - 1.36, </v>
      </c>
      <c r="H218" s="142"/>
    </row>
    <row r="219" spans="1:8" ht="15" customHeight="1">
      <c r="A219" s="226"/>
      <c r="B219" s="226"/>
      <c r="C219" s="226"/>
      <c r="D219" s="51" t="s">
        <v>172</v>
      </c>
      <c r="E219" s="53">
        <v>0.017</v>
      </c>
      <c r="G219" s="129" t="str">
        <f>CONCATENATE(D219," - ",E219,", ")</f>
        <v>1/core PVC Alumn. Cable scrap - 0.017, </v>
      </c>
      <c r="H219" s="142"/>
    </row>
    <row r="220" spans="1:8" ht="15" customHeight="1">
      <c r="A220" s="45"/>
      <c r="B220" s="47"/>
      <c r="C220" s="48"/>
      <c r="D220" s="39"/>
      <c r="E220" s="55"/>
      <c r="G220" s="129"/>
      <c r="H220" s="142"/>
    </row>
    <row r="221" spans="1:8" ht="15" customHeight="1">
      <c r="A221" s="45"/>
      <c r="B221" s="54"/>
      <c r="C221" s="183"/>
      <c r="D221" s="180"/>
      <c r="E221" s="103">
        <f>SUM(E223:E225)</f>
        <v>6.015</v>
      </c>
      <c r="G221" s="129"/>
      <c r="H221" s="142"/>
    </row>
    <row r="222" spans="1:18" ht="15" customHeight="1">
      <c r="A222" s="46" t="s">
        <v>5</v>
      </c>
      <c r="B222" s="233" t="s">
        <v>17</v>
      </c>
      <c r="C222" s="235"/>
      <c r="D222" s="182" t="s">
        <v>18</v>
      </c>
      <c r="E222" s="46" t="s">
        <v>7</v>
      </c>
      <c r="G222" s="131" t="str">
        <f>CONCATENATE("Cable Scrap, Lying at ",B223,". Quantity in MT - ")</f>
        <v>Cable Scrap, Lying at CS Malout. Quantity in MT - </v>
      </c>
      <c r="H222" s="256" t="str">
        <f ca="1">CONCATENATE(G222,G223,(INDIRECT(I223)),(INDIRECT(J223)),(INDIRECT(K223)),(INDIRECT(L223)),(INDIRECT(M223)),(INDIRECT(N223)),(INDIRECT(O223)),(INDIRECT(P223)),(INDIRECT(Q223)),(INDIRECT(R223)),".")</f>
        <v>Cable Scrap, Lying at CS Malout. Quantity in MT - 2/core PVC Alumn. Cable scrap - 1.034, 4/core PVC Alumn. Cable scrap - 1.096, 3/ core XLPE Alu cable scrap - 3.885, .</v>
      </c>
      <c r="I222" s="138" t="str">
        <f aca="true" ca="1" t="array" ref="I222">CELL("address",INDEX(G222:G244,MATCH(TRUE,ISBLANK(G222:G244),0)))</f>
        <v>$G$226</v>
      </c>
      <c r="J222" s="138">
        <f aca="true" t="array" ref="J222">MATCH(TRUE,ISBLANK(G222:G244),0)</f>
        <v>5</v>
      </c>
      <c r="K222" s="138">
        <f>J222-3</f>
        <v>2</v>
      </c>
      <c r="L222" s="138"/>
      <c r="M222" s="138"/>
      <c r="N222" s="138"/>
      <c r="O222" s="138"/>
      <c r="P222" s="138"/>
      <c r="Q222" s="138"/>
      <c r="R222" s="138"/>
    </row>
    <row r="223" spans="1:18" ht="15" customHeight="1">
      <c r="A223" s="226" t="s">
        <v>171</v>
      </c>
      <c r="B223" s="226" t="s">
        <v>96</v>
      </c>
      <c r="C223" s="226"/>
      <c r="D223" s="51" t="s">
        <v>91</v>
      </c>
      <c r="E223" s="53">
        <v>1.034</v>
      </c>
      <c r="G223" s="129" t="str">
        <f>CONCATENATE(D223," - ",E223,", ")</f>
        <v>2/core PVC Alumn. Cable scrap - 1.034, </v>
      </c>
      <c r="H223" s="256"/>
      <c r="I223" s="138" t="str">
        <f ca="1">IF(J222&gt;=3,(MID(I222,2,1)&amp;MID(I222,4,3)-K222),CELL("address",Z223))</f>
        <v>G224</v>
      </c>
      <c r="J223" s="138" t="str">
        <f ca="1">IF(J222&gt;=4,(MID(I223,1,1)&amp;MID(I223,2,3)+1),CELL("address",AA223))</f>
        <v>G225</v>
      </c>
      <c r="K223" s="138" t="str">
        <f ca="1">IF(J222&gt;=5,(MID(J223,1,1)&amp;MID(J223,2,3)+1),CELL("address",AB223))</f>
        <v>G226</v>
      </c>
      <c r="L223" s="138" t="str">
        <f ca="1">IF(J222&gt;=6,(MID(K223,1,1)&amp;MID(K223,2,3)+1),CELL("address",AC223))</f>
        <v>$AC$223</v>
      </c>
      <c r="M223" s="138" t="str">
        <f ca="1">IF(J222&gt;=7,(MID(L223,1,1)&amp;MID(L223,2,3)+1),CELL("address",AD223))</f>
        <v>$AD$223</v>
      </c>
      <c r="N223" s="138" t="str">
        <f ca="1">IF(J222&gt;=8,(MID(M223,1,1)&amp;MID(M223,2,3)+1),CELL("address",AE223))</f>
        <v>$AE$223</v>
      </c>
      <c r="O223" s="138" t="str">
        <f ca="1">IF(J222&gt;=9,(MID(N223,1,1)&amp;MID(N223,2,3)+1),CELL("address",AF223))</f>
        <v>$AF$223</v>
      </c>
      <c r="P223" s="138" t="str">
        <f ca="1">IF(J222&gt;=10,(MID(O223,1,1)&amp;MID(O223,2,3)+1),CELL("address",AG223))</f>
        <v>$AG$223</v>
      </c>
      <c r="Q223" s="138" t="str">
        <f ca="1">IF(J222&gt;=11,(MID(P223,1,1)&amp;MID(P223,2,3)+1),CELL("address",AH223))</f>
        <v>$AH$223</v>
      </c>
      <c r="R223" s="138" t="str">
        <f ca="1">IF(J222&gt;=12,(MID(Q223,1,1)&amp;MID(Q223,2,3)+1),CELL("address",AI223))</f>
        <v>$AI$223</v>
      </c>
    </row>
    <row r="224" spans="1:8" ht="15" customHeight="1">
      <c r="A224" s="226"/>
      <c r="B224" s="226"/>
      <c r="C224" s="226"/>
      <c r="D224" s="51" t="s">
        <v>92</v>
      </c>
      <c r="E224" s="53">
        <v>1.096</v>
      </c>
      <c r="G224" s="129" t="str">
        <f>CONCATENATE(D224," - ",E224,", ")</f>
        <v>4/core PVC Alumn. Cable scrap - 1.096, </v>
      </c>
      <c r="H224" s="143"/>
    </row>
    <row r="225" spans="1:8" ht="15" customHeight="1">
      <c r="A225" s="226"/>
      <c r="B225" s="226"/>
      <c r="C225" s="226"/>
      <c r="D225" s="51" t="s">
        <v>93</v>
      </c>
      <c r="E225" s="53">
        <v>3.885</v>
      </c>
      <c r="G225" s="129" t="str">
        <f>CONCATENATE(D225," - ",E225,", ")</f>
        <v>3/ core XLPE Alu cable scrap - 3.885, </v>
      </c>
      <c r="H225" s="142"/>
    </row>
    <row r="226" spans="1:8" ht="15" customHeight="1">
      <c r="A226" s="45"/>
      <c r="B226" s="47"/>
      <c r="C226" s="48"/>
      <c r="D226" s="51"/>
      <c r="E226" s="53"/>
      <c r="G226" s="129"/>
      <c r="H226" s="142"/>
    </row>
    <row r="227" spans="1:8" ht="15" customHeight="1">
      <c r="A227" s="45"/>
      <c r="B227" s="54"/>
      <c r="C227" s="183"/>
      <c r="D227" s="180"/>
      <c r="E227" s="103">
        <f>SUM(E229:E232)</f>
        <v>1.9180000000000001</v>
      </c>
      <c r="G227" s="129"/>
      <c r="H227" s="142"/>
    </row>
    <row r="228" spans="1:18" ht="15" customHeight="1">
      <c r="A228" s="46" t="s">
        <v>5</v>
      </c>
      <c r="B228" s="233" t="s">
        <v>17</v>
      </c>
      <c r="C228" s="235"/>
      <c r="D228" s="182" t="s">
        <v>18</v>
      </c>
      <c r="E228" s="46" t="s">
        <v>7</v>
      </c>
      <c r="G228" s="131" t="str">
        <f>CONCATENATE("Cable Scrap, Lying at ",B229,". Quantity in MT - ")</f>
        <v>Cable Scrap, Lying at OL Nabha. Quantity in MT - </v>
      </c>
      <c r="H228" s="256" t="str">
        <f ca="1">CONCATENATE(G228,G229,(INDIRECT(I229)),(INDIRECT(J229)),(INDIRECT(K229)),(INDIRECT(L229)),(INDIRECT(M229)),(INDIRECT(N229)),(INDIRECT(O229)),(INDIRECT(P229)),(INDIRECT(Q229)),(INDIRECT(R229)),".")</f>
        <v>Cable Scrap, Lying at OL Nabha. Quantity in MT - 2/core PVC Alumn. Cable scrap - 0.355, 4/core PVC Alumn. Cable scrap - 0.661, 3/ core XLPE Alu cable scrap - 0.862, ABC cable scrap (70/95 mm) - 0.04, .</v>
      </c>
      <c r="I228" s="138" t="str">
        <f aca="true" ca="1" t="array" ref="I228">CELL("address",INDEX(G228:G250,MATCH(TRUE,ISBLANK(G228:G250),0)))</f>
        <v>$G$233</v>
      </c>
      <c r="J228" s="138">
        <f aca="true" t="array" ref="J228">MATCH(TRUE,ISBLANK(G228:G250),0)</f>
        <v>6</v>
      </c>
      <c r="K228" s="138">
        <f>J228-3</f>
        <v>3</v>
      </c>
      <c r="L228" s="138"/>
      <c r="M228" s="138"/>
      <c r="N228" s="138"/>
      <c r="O228" s="138"/>
      <c r="P228" s="138"/>
      <c r="Q228" s="138"/>
      <c r="R228" s="138"/>
    </row>
    <row r="229" spans="1:18" ht="15" customHeight="1">
      <c r="A229" s="226" t="s">
        <v>173</v>
      </c>
      <c r="B229" s="226" t="s">
        <v>106</v>
      </c>
      <c r="C229" s="226"/>
      <c r="D229" s="51" t="s">
        <v>91</v>
      </c>
      <c r="E229" s="53">
        <v>0.355</v>
      </c>
      <c r="G229" s="129" t="str">
        <f>CONCATENATE(D229," - ",E229,", ")</f>
        <v>2/core PVC Alumn. Cable scrap - 0.355, </v>
      </c>
      <c r="H229" s="256"/>
      <c r="I229" s="138" t="str">
        <f ca="1">IF(J228&gt;=3,(MID(I228,2,1)&amp;MID(I228,4,3)-K228),CELL("address",Z229))</f>
        <v>G230</v>
      </c>
      <c r="J229" s="138" t="str">
        <f ca="1">IF(J228&gt;=4,(MID(I229,1,1)&amp;MID(I229,2,3)+1),CELL("address",AA229))</f>
        <v>G231</v>
      </c>
      <c r="K229" s="138" t="str">
        <f ca="1">IF(J228&gt;=5,(MID(J229,1,1)&amp;MID(J229,2,3)+1),CELL("address",AB229))</f>
        <v>G232</v>
      </c>
      <c r="L229" s="138" t="str">
        <f ca="1">IF(J228&gt;=6,(MID(K229,1,1)&amp;MID(K229,2,3)+1),CELL("address",AC229))</f>
        <v>G233</v>
      </c>
      <c r="M229" s="138" t="str">
        <f ca="1">IF(J228&gt;=7,(MID(L229,1,1)&amp;MID(L229,2,3)+1),CELL("address",AD229))</f>
        <v>$AD$229</v>
      </c>
      <c r="N229" s="138" t="str">
        <f ca="1">IF(J228&gt;=8,(MID(M229,1,1)&amp;MID(M229,2,3)+1),CELL("address",AE229))</f>
        <v>$AE$229</v>
      </c>
      <c r="O229" s="138" t="str">
        <f ca="1">IF(J228&gt;=9,(MID(N229,1,1)&amp;MID(N229,2,3)+1),CELL("address",AF229))</f>
        <v>$AF$229</v>
      </c>
      <c r="P229" s="138" t="str">
        <f ca="1">IF(J228&gt;=10,(MID(O229,1,1)&amp;MID(O229,2,3)+1),CELL("address",AG229))</f>
        <v>$AG$229</v>
      </c>
      <c r="Q229" s="138" t="str">
        <f ca="1">IF(J228&gt;=11,(MID(P229,1,1)&amp;MID(P229,2,3)+1),CELL("address",AH229))</f>
        <v>$AH$229</v>
      </c>
      <c r="R229" s="138" t="str">
        <f ca="1">IF(J228&gt;=12,(MID(Q229,1,1)&amp;MID(Q229,2,3)+1),CELL("address",AI229))</f>
        <v>$AI$229</v>
      </c>
    </row>
    <row r="230" spans="1:8" ht="15" customHeight="1">
      <c r="A230" s="226"/>
      <c r="B230" s="226"/>
      <c r="C230" s="226"/>
      <c r="D230" s="51" t="s">
        <v>92</v>
      </c>
      <c r="E230" s="53">
        <v>0.661</v>
      </c>
      <c r="G230" s="129" t="str">
        <f>CONCATENATE(D230," - ",E230,", ")</f>
        <v>4/core PVC Alumn. Cable scrap - 0.661, </v>
      </c>
      <c r="H230" s="142"/>
    </row>
    <row r="231" spans="1:8" ht="15" customHeight="1">
      <c r="A231" s="226"/>
      <c r="B231" s="226"/>
      <c r="C231" s="226"/>
      <c r="D231" s="51" t="s">
        <v>93</v>
      </c>
      <c r="E231" s="53">
        <v>0.862</v>
      </c>
      <c r="G231" s="129" t="str">
        <f>CONCATENATE(D231," - ",E231,", ")</f>
        <v>3/ core XLPE Alu cable scrap - 0.862, </v>
      </c>
      <c r="H231" s="142"/>
    </row>
    <row r="232" spans="1:8" ht="15" customHeight="1">
      <c r="A232" s="226"/>
      <c r="B232" s="226"/>
      <c r="C232" s="226"/>
      <c r="D232" s="51" t="s">
        <v>169</v>
      </c>
      <c r="E232" s="53">
        <v>0.04</v>
      </c>
      <c r="G232" s="129" t="str">
        <f>CONCATENATE(D232," - ",E232,", ")</f>
        <v>ABC cable scrap (70/95 mm) - 0.04, </v>
      </c>
      <c r="H232" s="142"/>
    </row>
    <row r="233" spans="1:8" ht="15" customHeight="1">
      <c r="A233" s="45"/>
      <c r="B233" s="47"/>
      <c r="C233" s="48"/>
      <c r="D233" s="39"/>
      <c r="E233" s="55"/>
      <c r="G233" s="129"/>
      <c r="H233" s="142"/>
    </row>
    <row r="234" spans="1:8" ht="15" customHeight="1">
      <c r="A234" s="45"/>
      <c r="B234" s="187"/>
      <c r="C234" s="188"/>
      <c r="D234" s="49"/>
      <c r="E234" s="50">
        <f>SUM(E236:E239)</f>
        <v>5.704000000000001</v>
      </c>
      <c r="G234" s="129"/>
      <c r="H234" s="142"/>
    </row>
    <row r="235" spans="1:18" ht="15" customHeight="1">
      <c r="A235" s="46" t="s">
        <v>5</v>
      </c>
      <c r="B235" s="233" t="s">
        <v>17</v>
      </c>
      <c r="C235" s="235"/>
      <c r="D235" s="182" t="s">
        <v>18</v>
      </c>
      <c r="E235" s="46" t="s">
        <v>7</v>
      </c>
      <c r="G235" s="131" t="str">
        <f>CONCATENATE("Cable Scrap, Lying at ",B236,". Quantity in MT - ")</f>
        <v>Cable Scrap, Lying at CS Patiala. Quantity in MT - </v>
      </c>
      <c r="H235" s="256" t="str">
        <f ca="1">CONCATENATE(G235,G236,(INDIRECT(I236)),(INDIRECT(J236)),(INDIRECT(K236)),(INDIRECT(L236)),(INDIRECT(M236)),(INDIRECT(N236)),(INDIRECT(O236)),(INDIRECT(P236)),(INDIRECT(Q236)),(INDIRECT(R236)),".")</f>
        <v>Cable Scrap, Lying at CS Patiala. Quantity in MT - 1/core PVC Alumn. Cable scrap - 0.301, 2/core PVC Alumn. Cable scrap - 1.016, 4/core PVC Alumn. Cable scrap - 2.38, 3/ core XLPE Alu cable scrap - 2.007, .</v>
      </c>
      <c r="I235" s="138" t="str">
        <f aca="true" ca="1" t="array" ref="I235">CELL("address",INDEX(G235:G258,MATCH(TRUE,ISBLANK(G235:G258),0)))</f>
        <v>$G$240</v>
      </c>
      <c r="J235" s="138">
        <f aca="true" t="array" ref="J235">MATCH(TRUE,ISBLANK(G235:G258),0)</f>
        <v>6</v>
      </c>
      <c r="K235" s="138">
        <f>J235-3</f>
        <v>3</v>
      </c>
      <c r="L235" s="138"/>
      <c r="M235" s="138"/>
      <c r="N235" s="138"/>
      <c r="O235" s="138"/>
      <c r="P235" s="138"/>
      <c r="Q235" s="138"/>
      <c r="R235" s="138"/>
    </row>
    <row r="236" spans="1:18" ht="15" customHeight="1">
      <c r="A236" s="226" t="s">
        <v>174</v>
      </c>
      <c r="B236" s="226" t="s">
        <v>53</v>
      </c>
      <c r="C236" s="226"/>
      <c r="D236" s="51" t="s">
        <v>172</v>
      </c>
      <c r="E236" s="46">
        <v>0.301</v>
      </c>
      <c r="G236" s="129" t="str">
        <f>CONCATENATE(D236," - ",E236,", ")</f>
        <v>1/core PVC Alumn. Cable scrap - 0.301, </v>
      </c>
      <c r="H236" s="256"/>
      <c r="I236" s="138" t="str">
        <f ca="1">IF(J235&gt;=3,(MID(I235,2,1)&amp;MID(I235,4,3)-K235),CELL("address",Z236))</f>
        <v>G237</v>
      </c>
      <c r="J236" s="138" t="str">
        <f ca="1">IF(J235&gt;=4,(MID(I236,1,1)&amp;MID(I236,2,3)+1),CELL("address",AA236))</f>
        <v>G238</v>
      </c>
      <c r="K236" s="138" t="str">
        <f ca="1">IF(J235&gt;=5,(MID(J236,1,1)&amp;MID(J236,2,3)+1),CELL("address",AB236))</f>
        <v>G239</v>
      </c>
      <c r="L236" s="138" t="str">
        <f ca="1">IF(J235&gt;=6,(MID(K236,1,1)&amp;MID(K236,2,3)+1),CELL("address",AC236))</f>
        <v>G240</v>
      </c>
      <c r="M236" s="138" t="str">
        <f ca="1">IF(J235&gt;=7,(MID(L236,1,1)&amp;MID(L236,2,3)+1),CELL("address",AD236))</f>
        <v>$AD$236</v>
      </c>
      <c r="N236" s="138" t="str">
        <f ca="1">IF(J235&gt;=8,(MID(M236,1,1)&amp;MID(M236,2,3)+1),CELL("address",AE236))</f>
        <v>$AE$236</v>
      </c>
      <c r="O236" s="138" t="str">
        <f ca="1">IF(J235&gt;=9,(MID(N236,1,1)&amp;MID(N236,2,3)+1),CELL("address",AF236))</f>
        <v>$AF$236</v>
      </c>
      <c r="P236" s="138" t="str">
        <f ca="1">IF(J235&gt;=10,(MID(O236,1,1)&amp;MID(O236,2,3)+1),CELL("address",AG236))</f>
        <v>$AG$236</v>
      </c>
      <c r="Q236" s="138" t="str">
        <f ca="1">IF(J235&gt;=11,(MID(P236,1,1)&amp;MID(P236,2,3)+1),CELL("address",AH236))</f>
        <v>$AH$236</v>
      </c>
      <c r="R236" s="138" t="str">
        <f ca="1">IF(J235&gt;=12,(MID(Q236,1,1)&amp;MID(Q236,2,3)+1),CELL("address",AI236))</f>
        <v>$AI$236</v>
      </c>
    </row>
    <row r="237" spans="1:8" ht="15" customHeight="1">
      <c r="A237" s="226"/>
      <c r="B237" s="226"/>
      <c r="C237" s="226"/>
      <c r="D237" s="51" t="s">
        <v>91</v>
      </c>
      <c r="E237" s="52">
        <v>1.016</v>
      </c>
      <c r="G237" s="129" t="str">
        <f>CONCATENATE(D237," - ",E237,", ")</f>
        <v>2/core PVC Alumn. Cable scrap - 1.016, </v>
      </c>
      <c r="H237" s="142"/>
    </row>
    <row r="238" spans="1:8" ht="15" customHeight="1">
      <c r="A238" s="226"/>
      <c r="B238" s="226"/>
      <c r="C238" s="226"/>
      <c r="D238" s="51" t="s">
        <v>92</v>
      </c>
      <c r="E238" s="52">
        <v>2.38</v>
      </c>
      <c r="G238" s="129" t="str">
        <f>CONCATENATE(D238," - ",E238,", ")</f>
        <v>4/core PVC Alumn. Cable scrap - 2.38, </v>
      </c>
      <c r="H238" s="142"/>
    </row>
    <row r="239" spans="1:8" ht="15" customHeight="1">
      <c r="A239" s="226"/>
      <c r="B239" s="226"/>
      <c r="C239" s="226"/>
      <c r="D239" s="51" t="s">
        <v>93</v>
      </c>
      <c r="E239" s="51">
        <v>2.007</v>
      </c>
      <c r="G239" s="129" t="str">
        <f>CONCATENATE(D239," - ",E239,", ")</f>
        <v>3/ core XLPE Alu cable scrap - 2.007, </v>
      </c>
      <c r="H239" s="142"/>
    </row>
    <row r="240" spans="1:8" ht="15" customHeight="1">
      <c r="A240" s="45"/>
      <c r="B240" s="47"/>
      <c r="C240" s="48"/>
      <c r="D240" s="39"/>
      <c r="E240" s="55"/>
      <c r="G240" s="129"/>
      <c r="H240" s="142"/>
    </row>
    <row r="241" spans="1:8" ht="15" customHeight="1">
      <c r="A241" s="56"/>
      <c r="B241" s="187"/>
      <c r="C241" s="188"/>
      <c r="D241" s="104"/>
      <c r="E241" s="57">
        <f>SUM(E243:E246)</f>
        <v>1.0010000000000001</v>
      </c>
      <c r="G241" s="129"/>
      <c r="H241" s="142"/>
    </row>
    <row r="242" spans="1:18" ht="15" customHeight="1">
      <c r="A242" s="46" t="s">
        <v>5</v>
      </c>
      <c r="B242" s="233" t="s">
        <v>17</v>
      </c>
      <c r="C242" s="235"/>
      <c r="D242" s="182" t="s">
        <v>18</v>
      </c>
      <c r="E242" s="46" t="s">
        <v>7</v>
      </c>
      <c r="G242" s="131" t="str">
        <f>CONCATENATE("Cable Scrap, Lying at ",B243,". Quantity in MT - ")</f>
        <v>Cable Scrap, Lying at OL Rajpura. Quantity in MT - </v>
      </c>
      <c r="H242" s="256" t="str">
        <f ca="1">CONCATENATE(G242,G243,(INDIRECT(I243)),(INDIRECT(J243)),(INDIRECT(K243)),(INDIRECT(L243)),(INDIRECT(M243)),(INDIRECT(N243)),(INDIRECT(O243)),(INDIRECT(P243)),(INDIRECT(Q243)),(INDIRECT(R243)),".")</f>
        <v>Cable Scrap, Lying at OL Rajpura. Quantity in MT - 2/core PVC Alumn. Cable scrap - 0.06, 4/core PVC Alumn. Cable scrap - 0.267, 3/ core XLPE Alu cable scrap - 0.115, ABC cable scrap (70/95 mm) - 0.559, .</v>
      </c>
      <c r="I242" s="138" t="str">
        <f aca="true" ca="1" t="array" ref="I242">CELL("address",INDEX(G242:G293,MATCH(TRUE,ISBLANK(G242:G293),0)))</f>
        <v>$G$247</v>
      </c>
      <c r="J242" s="138">
        <f aca="true" t="array" ref="J242">MATCH(TRUE,ISBLANK(G242:G293),0)</f>
        <v>6</v>
      </c>
      <c r="K242" s="138">
        <f>J242-3</f>
        <v>3</v>
      </c>
      <c r="L242" s="138"/>
      <c r="M242" s="138"/>
      <c r="N242" s="138"/>
      <c r="O242" s="138"/>
      <c r="P242" s="138"/>
      <c r="Q242" s="138"/>
      <c r="R242" s="138"/>
    </row>
    <row r="243" spans="1:18" ht="15" customHeight="1">
      <c r="A243" s="226" t="s">
        <v>175</v>
      </c>
      <c r="B243" s="226" t="s">
        <v>105</v>
      </c>
      <c r="C243" s="226"/>
      <c r="D243" s="51" t="s">
        <v>91</v>
      </c>
      <c r="E243" s="46">
        <v>0.06</v>
      </c>
      <c r="G243" s="129" t="str">
        <f>CONCATENATE(D243," - ",E243,", ")</f>
        <v>2/core PVC Alumn. Cable scrap - 0.06, </v>
      </c>
      <c r="H243" s="256"/>
      <c r="I243" s="138" t="str">
        <f ca="1">IF(J242&gt;=3,(MID(I242,2,1)&amp;MID(I242,4,3)-K242),CELL("address",Z243))</f>
        <v>G244</v>
      </c>
      <c r="J243" s="138" t="str">
        <f ca="1">IF(J242&gt;=4,(MID(I243,1,1)&amp;MID(I243,2,3)+1),CELL("address",AA243))</f>
        <v>G245</v>
      </c>
      <c r="K243" s="138" t="str">
        <f ca="1">IF(J242&gt;=5,(MID(J243,1,1)&amp;MID(J243,2,3)+1),CELL("address",AB243))</f>
        <v>G246</v>
      </c>
      <c r="L243" s="138" t="str">
        <f ca="1">IF(J242&gt;=6,(MID(K243,1,1)&amp;MID(K243,2,3)+1),CELL("address",AC243))</f>
        <v>G247</v>
      </c>
      <c r="M243" s="138" t="str">
        <f ca="1">IF(J242&gt;=7,(MID(L243,1,1)&amp;MID(L243,2,3)+1),CELL("address",AD243))</f>
        <v>$AD$243</v>
      </c>
      <c r="N243" s="138" t="str">
        <f ca="1">IF(J242&gt;=8,(MID(M243,1,1)&amp;MID(M243,2,3)+1),CELL("address",AE243))</f>
        <v>$AE$243</v>
      </c>
      <c r="O243" s="138" t="str">
        <f ca="1">IF(J242&gt;=9,(MID(N243,1,1)&amp;MID(N243,2,3)+1),CELL("address",AF243))</f>
        <v>$AF$243</v>
      </c>
      <c r="P243" s="138" t="str">
        <f ca="1">IF(J242&gt;=10,(MID(O243,1,1)&amp;MID(O243,2,3)+1),CELL("address",AG243))</f>
        <v>$AG$243</v>
      </c>
      <c r="Q243" s="138" t="str">
        <f ca="1">IF(J242&gt;=11,(MID(P243,1,1)&amp;MID(P243,2,3)+1),CELL("address",AH243))</f>
        <v>$AH$243</v>
      </c>
      <c r="R243" s="138" t="str">
        <f ca="1">IF(J242&gt;=12,(MID(Q243,1,1)&amp;MID(Q243,2,3)+1),CELL("address",AI243))</f>
        <v>$AI$243</v>
      </c>
    </row>
    <row r="244" spans="1:8" ht="15" customHeight="1">
      <c r="A244" s="226"/>
      <c r="B244" s="226"/>
      <c r="C244" s="226"/>
      <c r="D244" s="51" t="s">
        <v>92</v>
      </c>
      <c r="E244" s="52">
        <v>0.267</v>
      </c>
      <c r="G244" s="129" t="str">
        <f>CONCATENATE(D244," - ",E244,", ")</f>
        <v>4/core PVC Alumn. Cable scrap - 0.267, </v>
      </c>
      <c r="H244" s="142"/>
    </row>
    <row r="245" spans="1:8" ht="15" customHeight="1">
      <c r="A245" s="226"/>
      <c r="B245" s="226"/>
      <c r="C245" s="226"/>
      <c r="D245" s="51" t="s">
        <v>93</v>
      </c>
      <c r="E245" s="52">
        <v>0.115</v>
      </c>
      <c r="G245" s="129" t="str">
        <f>CONCATENATE(D245," - ",E245,", ")</f>
        <v>3/ core XLPE Alu cable scrap - 0.115, </v>
      </c>
      <c r="H245" s="142"/>
    </row>
    <row r="246" spans="1:8" ht="15" customHeight="1">
      <c r="A246" s="226"/>
      <c r="B246" s="226"/>
      <c r="C246" s="226"/>
      <c r="D246" s="51" t="s">
        <v>169</v>
      </c>
      <c r="E246" s="53">
        <v>0.559</v>
      </c>
      <c r="G246" s="129" t="str">
        <f>CONCATENATE(D246," - ",E246,", ")</f>
        <v>ABC cable scrap (70/95 mm) - 0.559, </v>
      </c>
      <c r="H246" s="142"/>
    </row>
    <row r="247" spans="1:8" ht="15" customHeight="1">
      <c r="A247" s="45"/>
      <c r="B247" s="47"/>
      <c r="C247" s="48"/>
      <c r="D247" s="51"/>
      <c r="E247" s="53"/>
      <c r="G247" s="129"/>
      <c r="H247" s="142"/>
    </row>
    <row r="248" spans="1:8" ht="15" customHeight="1">
      <c r="A248" s="45"/>
      <c r="B248" s="187"/>
      <c r="C248" s="188"/>
      <c r="D248" s="49"/>
      <c r="E248" s="50">
        <f>SUM(E250:E253)</f>
        <v>3.4879999999999995</v>
      </c>
      <c r="G248" s="129"/>
      <c r="H248" s="142"/>
    </row>
    <row r="249" spans="1:18" ht="15" customHeight="1">
      <c r="A249" s="46" t="s">
        <v>5</v>
      </c>
      <c r="B249" s="233" t="s">
        <v>17</v>
      </c>
      <c r="C249" s="235"/>
      <c r="D249" s="182" t="s">
        <v>18</v>
      </c>
      <c r="E249" s="46" t="s">
        <v>7</v>
      </c>
      <c r="G249" s="131" t="str">
        <f>CONCATENATE("Cable Scrap, Lying at ",B250,". Quantity in MT - ")</f>
        <v>Cable Scrap, Lying at OL Barnala. Quantity in MT - </v>
      </c>
      <c r="H249" s="256" t="str">
        <f ca="1">CONCATENATE(G249,G250,(INDIRECT(I250)),(INDIRECT(J250)),(INDIRECT(K250)),(INDIRECT(L250)),(INDIRECT(M250)),(INDIRECT(N250)),(INDIRECT(O250)),(INDIRECT(P250)),(INDIRECT(Q250)),(INDIRECT(R250)),".")</f>
        <v>Cable Scrap, Lying at OL Barnala. Quantity in MT - 2/core PVC Alumn. Cable scrap - 0.343, 4/core PVC Alumn. Cable scrap - 0.571, 3/ core XLPE Alu cable scrap - 2.556, 1/ core XLPE Alu cable scrap - 0.018, .</v>
      </c>
      <c r="I249" s="138" t="str">
        <f aca="true" ca="1" t="array" ref="I249">CELL("address",INDEX(G249:G300,MATCH(TRUE,ISBLANK(G249:G300),0)))</f>
        <v>$G$254</v>
      </c>
      <c r="J249" s="138">
        <f aca="true" t="array" ref="J249">MATCH(TRUE,ISBLANK(G249:G300),0)</f>
        <v>6</v>
      </c>
      <c r="K249" s="138">
        <f>J249-3</f>
        <v>3</v>
      </c>
      <c r="L249" s="138"/>
      <c r="M249" s="138"/>
      <c r="N249" s="138"/>
      <c r="O249" s="138"/>
      <c r="P249" s="138"/>
      <c r="Q249" s="138"/>
      <c r="R249" s="138"/>
    </row>
    <row r="250" spans="1:18" ht="15" customHeight="1">
      <c r="A250" s="226" t="s">
        <v>245</v>
      </c>
      <c r="B250" s="226" t="s">
        <v>188</v>
      </c>
      <c r="C250" s="226"/>
      <c r="D250" s="51" t="s">
        <v>91</v>
      </c>
      <c r="E250" s="52">
        <v>0.343</v>
      </c>
      <c r="G250" s="129" t="str">
        <f>CONCATENATE(D250," - ",E250,", ")</f>
        <v>2/core PVC Alumn. Cable scrap - 0.343, </v>
      </c>
      <c r="H250" s="256"/>
      <c r="I250" s="138" t="str">
        <f ca="1">IF(J249&gt;=3,(MID(I249,2,1)&amp;MID(I249,4,3)-K249),CELL("address",Z250))</f>
        <v>G251</v>
      </c>
      <c r="J250" s="138" t="str">
        <f ca="1">IF(J249&gt;=4,(MID(I250,1,1)&amp;MID(I250,2,3)+1),CELL("address",AA250))</f>
        <v>G252</v>
      </c>
      <c r="K250" s="138" t="str">
        <f ca="1">IF(J249&gt;=5,(MID(J250,1,1)&amp;MID(J250,2,3)+1),CELL("address",AB250))</f>
        <v>G253</v>
      </c>
      <c r="L250" s="138" t="str">
        <f ca="1">IF(J249&gt;=6,(MID(K250,1,1)&amp;MID(K250,2,3)+1),CELL("address",AC250))</f>
        <v>G254</v>
      </c>
      <c r="M250" s="138" t="str">
        <f ca="1">IF(J249&gt;=7,(MID(L250,1,1)&amp;MID(L250,2,3)+1),CELL("address",AD250))</f>
        <v>$AD$250</v>
      </c>
      <c r="N250" s="138" t="str">
        <f ca="1">IF(J249&gt;=8,(MID(M250,1,1)&amp;MID(M250,2,3)+1),CELL("address",AE250))</f>
        <v>$AE$250</v>
      </c>
      <c r="O250" s="138" t="str">
        <f ca="1">IF(J249&gt;=9,(MID(N250,1,1)&amp;MID(N250,2,3)+1),CELL("address",AF250))</f>
        <v>$AF$250</v>
      </c>
      <c r="P250" s="138" t="str">
        <f ca="1">IF(J249&gt;=10,(MID(O250,1,1)&amp;MID(O250,2,3)+1),CELL("address",AG250))</f>
        <v>$AG$250</v>
      </c>
      <c r="Q250" s="138" t="str">
        <f ca="1">IF(J249&gt;=11,(MID(P250,1,1)&amp;MID(P250,2,3)+1),CELL("address",AH250))</f>
        <v>$AH$250</v>
      </c>
      <c r="R250" s="138" t="str">
        <f ca="1">IF(J249&gt;=12,(MID(Q250,1,1)&amp;MID(Q250,2,3)+1),CELL("address",AI250))</f>
        <v>$AI$250</v>
      </c>
    </row>
    <row r="251" spans="1:8" ht="15" customHeight="1">
      <c r="A251" s="226"/>
      <c r="B251" s="226"/>
      <c r="C251" s="226"/>
      <c r="D251" s="51" t="s">
        <v>92</v>
      </c>
      <c r="E251" s="52">
        <v>0.571</v>
      </c>
      <c r="G251" s="129" t="str">
        <f>CONCATENATE(D251," - ",E251,", ")</f>
        <v>4/core PVC Alumn. Cable scrap - 0.571, </v>
      </c>
      <c r="H251" s="142"/>
    </row>
    <row r="252" spans="1:8" ht="15" customHeight="1">
      <c r="A252" s="226"/>
      <c r="B252" s="226"/>
      <c r="C252" s="226"/>
      <c r="D252" s="51" t="s">
        <v>93</v>
      </c>
      <c r="E252" s="53">
        <v>2.556</v>
      </c>
      <c r="G252" s="129" t="str">
        <f>CONCATENATE(D252," - ",E252,", ")</f>
        <v>3/ core XLPE Alu cable scrap - 2.556, </v>
      </c>
      <c r="H252" s="142"/>
    </row>
    <row r="253" spans="1:8" ht="15" customHeight="1">
      <c r="A253" s="226"/>
      <c r="B253" s="226"/>
      <c r="C253" s="226"/>
      <c r="D253" s="51" t="s">
        <v>98</v>
      </c>
      <c r="E253" s="53">
        <v>0.018</v>
      </c>
      <c r="G253" s="129" t="str">
        <f>CONCATENATE(D253," - ",E253,", ")</f>
        <v>1/ core XLPE Alu cable scrap - 0.018, </v>
      </c>
      <c r="H253" s="142"/>
    </row>
    <row r="254" spans="1:8" ht="15" customHeight="1">
      <c r="A254" s="45"/>
      <c r="B254" s="163"/>
      <c r="C254" s="72"/>
      <c r="D254" s="164"/>
      <c r="E254" s="165"/>
      <c r="G254" s="129"/>
      <c r="H254" s="142"/>
    </row>
    <row r="255" spans="1:8" ht="15" customHeight="1">
      <c r="A255" s="45"/>
      <c r="B255" s="187"/>
      <c r="C255" s="188"/>
      <c r="D255" s="49"/>
      <c r="E255" s="50">
        <f>SUM(E257:E262)</f>
        <v>1.518</v>
      </c>
      <c r="G255" s="129"/>
      <c r="H255" s="142"/>
    </row>
    <row r="256" spans="1:18" ht="15" customHeight="1">
      <c r="A256" s="87" t="s">
        <v>5</v>
      </c>
      <c r="B256" s="239" t="s">
        <v>17</v>
      </c>
      <c r="C256" s="240"/>
      <c r="D256" s="182" t="s">
        <v>18</v>
      </c>
      <c r="E256" s="46" t="s">
        <v>7</v>
      </c>
      <c r="G256" s="131" t="str">
        <f>CONCATENATE("Cable Scrap, Lying at ",B257,". Quantity in MT - ")</f>
        <v>Cable Scrap, Lying at CS Sangrur. Quantity in MT - </v>
      </c>
      <c r="H256" s="256" t="str">
        <f ca="1">CONCATENATE(G256,G257,(INDIRECT(I257)),(INDIRECT(J257)),(INDIRECT(K257)),(INDIRECT(L257)),(INDIRECT(M257)),(INDIRECT(N257)),(INDIRECT(O257)),(INDIRECT(P257)),(INDIRECT(Q257)),(INDIRECT(R257)),".")</f>
        <v>Cable Scrap, Lying at CS Sangrur. Quantity in MT - 2/core PVC Alumn. Cable scrap - 0.172, 4/core PVC Alumn. Cable scrap - 0.36, 3/ core XLPE Alu cable scrap - 0.355, Lead seal scrap with lash wire - 0.021, ABC cable scrap (70/95 mm) - 0.545, 1/core PVC Alumn. Cable scrap - 0.065, .</v>
      </c>
      <c r="I256" s="138" t="str">
        <f aca="true" ca="1" t="array" ref="I256">CELL("address",INDEX(G256:G306,MATCH(TRUE,ISBLANK(G256:G306),0)))</f>
        <v>$G$263</v>
      </c>
      <c r="J256" s="138">
        <f aca="true" t="array" ref="J256">MATCH(TRUE,ISBLANK(G256:G306),0)</f>
        <v>8</v>
      </c>
      <c r="K256" s="138">
        <f>J256-3</f>
        <v>5</v>
      </c>
      <c r="L256" s="138"/>
      <c r="M256" s="138"/>
      <c r="N256" s="138"/>
      <c r="O256" s="138"/>
      <c r="P256" s="138"/>
      <c r="Q256" s="138"/>
      <c r="R256" s="138"/>
    </row>
    <row r="257" spans="1:18" ht="15" customHeight="1">
      <c r="A257" s="226" t="s">
        <v>209</v>
      </c>
      <c r="B257" s="226" t="s">
        <v>80</v>
      </c>
      <c r="C257" s="226"/>
      <c r="D257" s="105" t="s">
        <v>91</v>
      </c>
      <c r="E257" s="52">
        <v>0.172</v>
      </c>
      <c r="G257" s="129" t="str">
        <f aca="true" t="shared" si="2" ref="G257:G262">CONCATENATE(D257," - ",E257,", ")</f>
        <v>2/core PVC Alumn. Cable scrap - 0.172, </v>
      </c>
      <c r="H257" s="256"/>
      <c r="I257" s="138" t="str">
        <f ca="1">IF(J256&gt;=3,(MID(I256,2,1)&amp;MID(I256,4,3)-K256),CELL("address",Z257))</f>
        <v>G258</v>
      </c>
      <c r="J257" s="138" t="str">
        <f ca="1">IF(J256&gt;=4,(MID(I257,1,1)&amp;MID(I257,2,3)+1),CELL("address",AA257))</f>
        <v>G259</v>
      </c>
      <c r="K257" s="138" t="str">
        <f ca="1">IF(J256&gt;=5,(MID(J257,1,1)&amp;MID(J257,2,3)+1),CELL("address",AB257))</f>
        <v>G260</v>
      </c>
      <c r="L257" s="138" t="str">
        <f ca="1">IF(J256&gt;=6,(MID(K257,1,1)&amp;MID(K257,2,3)+1),CELL("address",AC257))</f>
        <v>G261</v>
      </c>
      <c r="M257" s="138" t="str">
        <f ca="1">IF(J256&gt;=7,(MID(L257,1,1)&amp;MID(L257,2,3)+1),CELL("address",AD257))</f>
        <v>G262</v>
      </c>
      <c r="N257" s="138" t="str">
        <f ca="1">IF(J256&gt;=8,(MID(M257,1,1)&amp;MID(M257,2,3)+1),CELL("address",AE257))</f>
        <v>G263</v>
      </c>
      <c r="O257" s="138" t="str">
        <f ca="1">IF(J256&gt;=9,(MID(N257,1,1)&amp;MID(N257,2,3)+1),CELL("address",AF257))</f>
        <v>$AF$257</v>
      </c>
      <c r="P257" s="138" t="str">
        <f ca="1">IF(J256&gt;=10,(MID(O257,1,1)&amp;MID(O257,2,3)+1),CELL("address",AG257))</f>
        <v>$AG$257</v>
      </c>
      <c r="Q257" s="138" t="str">
        <f ca="1">IF(J256&gt;=11,(MID(P257,1,1)&amp;MID(P257,2,3)+1),CELL("address",AH257))</f>
        <v>$AH$257</v>
      </c>
      <c r="R257" s="138" t="str">
        <f ca="1">IF(J256&gt;=12,(MID(Q257,1,1)&amp;MID(Q257,2,3)+1),CELL("address",AI257))</f>
        <v>$AI$257</v>
      </c>
    </row>
    <row r="258" spans="1:8" ht="15" customHeight="1">
      <c r="A258" s="226"/>
      <c r="B258" s="226"/>
      <c r="C258" s="226"/>
      <c r="D258" s="105" t="s">
        <v>92</v>
      </c>
      <c r="E258" s="52">
        <v>0.36</v>
      </c>
      <c r="G258" s="129" t="str">
        <f t="shared" si="2"/>
        <v>4/core PVC Alumn. Cable scrap - 0.36, </v>
      </c>
      <c r="H258" s="142"/>
    </row>
    <row r="259" spans="1:8" ht="15" customHeight="1">
      <c r="A259" s="226"/>
      <c r="B259" s="226"/>
      <c r="C259" s="226"/>
      <c r="D259" s="105" t="s">
        <v>93</v>
      </c>
      <c r="E259" s="52">
        <v>0.355</v>
      </c>
      <c r="G259" s="129" t="str">
        <f t="shared" si="2"/>
        <v>3/ core XLPE Alu cable scrap - 0.355, </v>
      </c>
      <c r="H259" s="142"/>
    </row>
    <row r="260" spans="1:8" ht="15" customHeight="1">
      <c r="A260" s="226"/>
      <c r="B260" s="226"/>
      <c r="C260" s="226"/>
      <c r="D260" s="105" t="s">
        <v>186</v>
      </c>
      <c r="E260" s="51">
        <v>0.021</v>
      </c>
      <c r="G260" s="129" t="str">
        <f t="shared" si="2"/>
        <v>Lead seal scrap with lash wire - 0.021, </v>
      </c>
      <c r="H260" s="142"/>
    </row>
    <row r="261" spans="1:8" ht="15" customHeight="1">
      <c r="A261" s="226"/>
      <c r="B261" s="226"/>
      <c r="C261" s="226"/>
      <c r="D261" s="193" t="s">
        <v>169</v>
      </c>
      <c r="E261" s="53">
        <v>0.545</v>
      </c>
      <c r="G261" s="129" t="str">
        <f t="shared" si="2"/>
        <v>ABC cable scrap (70/95 mm) - 0.545, </v>
      </c>
      <c r="H261" s="144"/>
    </row>
    <row r="262" spans="1:8" ht="15" customHeight="1">
      <c r="A262" s="226"/>
      <c r="B262" s="226"/>
      <c r="C262" s="226"/>
      <c r="D262" s="105" t="s">
        <v>172</v>
      </c>
      <c r="E262" s="53">
        <v>0.065</v>
      </c>
      <c r="G262" s="129" t="str">
        <f t="shared" si="2"/>
        <v>1/core PVC Alumn. Cable scrap - 0.065, </v>
      </c>
      <c r="H262" s="144"/>
    </row>
    <row r="263" spans="1:8" ht="15" customHeight="1">
      <c r="A263" s="56"/>
      <c r="B263" s="163"/>
      <c r="C263" s="72"/>
      <c r="D263" s="88"/>
      <c r="E263" s="53"/>
      <c r="G263" s="129"/>
      <c r="H263" s="144"/>
    </row>
    <row r="264" spans="1:8" ht="15" customHeight="1">
      <c r="A264" s="45"/>
      <c r="B264" s="187"/>
      <c r="C264" s="188"/>
      <c r="D264" s="49" t="s">
        <v>255</v>
      </c>
      <c r="E264" s="50">
        <f>SUM(E266:E269)</f>
        <v>0.6769999999999999</v>
      </c>
      <c r="G264" s="129"/>
      <c r="H264" s="144"/>
    </row>
    <row r="265" spans="1:18" ht="15" customHeight="1">
      <c r="A265" s="46" t="s">
        <v>5</v>
      </c>
      <c r="B265" s="233" t="s">
        <v>17</v>
      </c>
      <c r="C265" s="235"/>
      <c r="D265" s="182" t="s">
        <v>18</v>
      </c>
      <c r="E265" s="46" t="s">
        <v>7</v>
      </c>
      <c r="G265" s="131" t="str">
        <f>CONCATENATE("Cable Scrap, Lying at ",B266,". Quantity in MT - ")</f>
        <v>Cable Scrap, Lying at CS Mohali. Quantity in MT - </v>
      </c>
      <c r="H265" s="256" t="str">
        <f ca="1">CONCATENATE(G265,G266,(INDIRECT(I266)),(INDIRECT(J266)),(INDIRECT(K266)),(INDIRECT(L266)),(INDIRECT(M266)),(INDIRECT(N266)),(INDIRECT(O266)),(INDIRECT(P266)),(INDIRECT(Q266)),(INDIRECT(R266)),".")</f>
        <v>Cable Scrap, Lying at CS Mohali. Quantity in MT - 4/core PVC Alumn. Cable scrap - 0.445, 3/ core XLPE Alu cable scrap - 0.15, 1/core PVC Alumn. Cable scrap - 0.069, 2/core PVC Alumn. Cable scrap - 0.013, .</v>
      </c>
      <c r="I265" s="138" t="str">
        <f aca="true" ca="1" t="array" ref="I265">CELL("address",INDEX(G265:G310,MATCH(TRUE,ISBLANK(G265:G310),0)))</f>
        <v>$G$270</v>
      </c>
      <c r="J265" s="138">
        <f aca="true" t="array" ref="J265">MATCH(TRUE,ISBLANK(G265:G310),0)</f>
        <v>6</v>
      </c>
      <c r="K265" s="138">
        <f>J265-3</f>
        <v>3</v>
      </c>
      <c r="L265" s="138"/>
      <c r="M265" s="138"/>
      <c r="N265" s="138"/>
      <c r="O265" s="138"/>
      <c r="P265" s="138"/>
      <c r="Q265" s="138"/>
      <c r="R265" s="138"/>
    </row>
    <row r="266" spans="1:18" ht="15" customHeight="1">
      <c r="A266" s="226" t="s">
        <v>253</v>
      </c>
      <c r="B266" s="226" t="s">
        <v>63</v>
      </c>
      <c r="C266" s="226"/>
      <c r="D266" s="51" t="s">
        <v>92</v>
      </c>
      <c r="E266" s="46">
        <v>0.445</v>
      </c>
      <c r="G266" s="129" t="str">
        <f>CONCATENATE(D266," - ",E266,", ")</f>
        <v>4/core PVC Alumn. Cable scrap - 0.445, </v>
      </c>
      <c r="H266" s="256"/>
      <c r="I266" s="138" t="str">
        <f ca="1">IF(J265&gt;=3,(MID(I265,2,1)&amp;MID(I265,4,3)-K265),CELL("address",Z266))</f>
        <v>G267</v>
      </c>
      <c r="J266" s="138" t="str">
        <f ca="1">IF(J265&gt;=4,(MID(I266,1,1)&amp;MID(I266,2,3)+1),CELL("address",AA266))</f>
        <v>G268</v>
      </c>
      <c r="K266" s="138" t="str">
        <f ca="1">IF(J265&gt;=5,(MID(J266,1,1)&amp;MID(J266,2,3)+1),CELL("address",AB266))</f>
        <v>G269</v>
      </c>
      <c r="L266" s="138" t="str">
        <f ca="1">IF(J265&gt;=6,(MID(K266,1,1)&amp;MID(K266,2,3)+1),CELL("address",AC266))</f>
        <v>G270</v>
      </c>
      <c r="M266" s="138" t="str">
        <f ca="1">IF(J265&gt;=7,(MID(L266,1,1)&amp;MID(L266,2,3)+1),CELL("address",AD266))</f>
        <v>$AD$266</v>
      </c>
      <c r="N266" s="138" t="str">
        <f ca="1">IF(J265&gt;=8,(MID(M266,1,1)&amp;MID(M266,2,3)+1),CELL("address",AE266))</f>
        <v>$AE$266</v>
      </c>
      <c r="O266" s="138" t="str">
        <f ca="1">IF(J265&gt;=9,(MID(N266,1,1)&amp;MID(N266,2,3)+1),CELL("address",AF266))</f>
        <v>$AF$266</v>
      </c>
      <c r="P266" s="138" t="str">
        <f ca="1">IF(J265&gt;=10,(MID(O266,1,1)&amp;MID(O266,2,3)+1),CELL("address",AG266))</f>
        <v>$AG$266</v>
      </c>
      <c r="Q266" s="138" t="str">
        <f ca="1">IF(J265&gt;=11,(MID(P266,1,1)&amp;MID(P266,2,3)+1),CELL("address",AH266))</f>
        <v>$AH$266</v>
      </c>
      <c r="R266" s="138" t="str">
        <f ca="1">IF(J265&gt;=12,(MID(Q266,1,1)&amp;MID(Q266,2,3)+1),CELL("address",AI266))</f>
        <v>$AI$266</v>
      </c>
    </row>
    <row r="267" spans="1:8" ht="15" customHeight="1">
      <c r="A267" s="226"/>
      <c r="B267" s="226"/>
      <c r="C267" s="226"/>
      <c r="D267" s="51" t="s">
        <v>93</v>
      </c>
      <c r="E267" s="52">
        <v>0.15</v>
      </c>
      <c r="G267" s="129" t="str">
        <f>CONCATENATE(D267," - ",E267,", ")</f>
        <v>3/ core XLPE Alu cable scrap - 0.15, </v>
      </c>
      <c r="H267" s="144"/>
    </row>
    <row r="268" spans="1:8" ht="15" customHeight="1">
      <c r="A268" s="226"/>
      <c r="B268" s="226"/>
      <c r="C268" s="226"/>
      <c r="D268" s="51" t="s">
        <v>172</v>
      </c>
      <c r="E268" s="52">
        <v>0.069</v>
      </c>
      <c r="G268" s="129" t="str">
        <f>CONCATENATE(D268," - ",E268,", ")</f>
        <v>1/core PVC Alumn. Cable scrap - 0.069, </v>
      </c>
      <c r="H268" s="144"/>
    </row>
    <row r="269" spans="1:8" ht="15" customHeight="1">
      <c r="A269" s="226"/>
      <c r="B269" s="226"/>
      <c r="C269" s="226"/>
      <c r="D269" s="51" t="s">
        <v>91</v>
      </c>
      <c r="E269" s="52">
        <v>0.013</v>
      </c>
      <c r="G269" s="129" t="str">
        <f>CONCATENATE(D269," - ",E269,", ")</f>
        <v>2/core PVC Alumn. Cable scrap - 0.013, </v>
      </c>
      <c r="H269" s="144"/>
    </row>
    <row r="270" spans="1:8" ht="15" customHeight="1">
      <c r="A270" s="58"/>
      <c r="B270" s="61"/>
      <c r="C270" s="137"/>
      <c r="D270" s="39"/>
      <c r="E270" s="186"/>
      <c r="G270" s="129"/>
      <c r="H270" s="144"/>
    </row>
    <row r="271" spans="1:8" ht="15" customHeight="1">
      <c r="A271" s="46"/>
      <c r="B271" s="249"/>
      <c r="C271" s="250"/>
      <c r="D271" s="180"/>
      <c r="E271" s="59">
        <f>SUM(E273:E275)</f>
        <v>1.323</v>
      </c>
      <c r="G271" s="129"/>
      <c r="H271" s="144"/>
    </row>
    <row r="272" spans="1:18" ht="15" customHeight="1">
      <c r="A272" s="46" t="s">
        <v>5</v>
      </c>
      <c r="B272" s="226" t="s">
        <v>17</v>
      </c>
      <c r="C272" s="226"/>
      <c r="D272" s="179" t="s">
        <v>18</v>
      </c>
      <c r="E272" s="46" t="s">
        <v>7</v>
      </c>
      <c r="G272" s="131" t="str">
        <f>CONCATENATE("Cable Scrap, Lying at ",B273,". Quantity in MT - ")</f>
        <v>Cable Scrap, Lying at OL Fazilka. Quantity in MT - </v>
      </c>
      <c r="H272" s="256" t="str">
        <f ca="1">CONCATENATE(G272,G273,(INDIRECT(I273)),(INDIRECT(J273)),(INDIRECT(K273)),(INDIRECT(L273)),(INDIRECT(M273)),(INDIRECT(N273)),(INDIRECT(O273)),(INDIRECT(P273)),(INDIRECT(Q273)),(INDIRECT(R273)),".")</f>
        <v>Cable Scrap, Lying at OL Fazilka. Quantity in MT - 2/core PVC Alumn. Cable scrap - 0.038, 4/core PVC Alumn. Cable scrap - 0.341, 3/ core XLPE Alu cable scrap - 0.944, .</v>
      </c>
      <c r="I272" s="138" t="str">
        <f aca="true" ca="1" t="array" ref="I272">CELL("address",INDEX(G272:G315,MATCH(TRUE,ISBLANK(G272:G315),0)))</f>
        <v>$G$276</v>
      </c>
      <c r="J272" s="138">
        <f aca="true" t="array" ref="J272">MATCH(TRUE,ISBLANK(G272:G315),0)</f>
        <v>5</v>
      </c>
      <c r="K272" s="138">
        <f>J272-3</f>
        <v>2</v>
      </c>
      <c r="L272" s="138"/>
      <c r="M272" s="138"/>
      <c r="N272" s="138"/>
      <c r="O272" s="138"/>
      <c r="P272" s="138"/>
      <c r="Q272" s="138"/>
      <c r="R272" s="138"/>
    </row>
    <row r="273" spans="1:18" ht="15" customHeight="1">
      <c r="A273" s="226" t="s">
        <v>254</v>
      </c>
      <c r="B273" s="226" t="s">
        <v>114</v>
      </c>
      <c r="C273" s="226"/>
      <c r="D273" s="51" t="s">
        <v>91</v>
      </c>
      <c r="E273" s="52">
        <v>0.038</v>
      </c>
      <c r="G273" s="129" t="str">
        <f>CONCATENATE(D273," - ",E273,", ")</f>
        <v>2/core PVC Alumn. Cable scrap - 0.038, </v>
      </c>
      <c r="H273" s="256"/>
      <c r="I273" s="138" t="str">
        <f ca="1">IF(J272&gt;=3,(MID(I272,2,1)&amp;MID(I272,4,3)-K272),CELL("address",Z273))</f>
        <v>G274</v>
      </c>
      <c r="J273" s="138" t="str">
        <f ca="1">IF(J272&gt;=4,(MID(I273,1,1)&amp;MID(I273,2,3)+1),CELL("address",AA273))</f>
        <v>G275</v>
      </c>
      <c r="K273" s="138" t="str">
        <f ca="1">IF(J272&gt;=5,(MID(J273,1,1)&amp;MID(J273,2,3)+1),CELL("address",AB273))</f>
        <v>G276</v>
      </c>
      <c r="L273" s="138" t="str">
        <f ca="1">IF(J272&gt;=6,(MID(K273,1,1)&amp;MID(K273,2,3)+1),CELL("address",AC273))</f>
        <v>$AC$273</v>
      </c>
      <c r="M273" s="138" t="str">
        <f ca="1">IF(J272&gt;=7,(MID(L273,1,1)&amp;MID(L273,2,3)+1),CELL("address",AD273))</f>
        <v>$AD$273</v>
      </c>
      <c r="N273" s="138" t="str">
        <f ca="1">IF(J272&gt;=8,(MID(M273,1,1)&amp;MID(M273,2,3)+1),CELL("address",AE273))</f>
        <v>$AE$273</v>
      </c>
      <c r="O273" s="138" t="str">
        <f ca="1">IF(J272&gt;=9,(MID(N273,1,1)&amp;MID(N273,2,3)+1),CELL("address",AF273))</f>
        <v>$AF$273</v>
      </c>
      <c r="P273" s="138" t="str">
        <f ca="1">IF(J272&gt;=10,(MID(O273,1,1)&amp;MID(O273,2,3)+1),CELL("address",AG273))</f>
        <v>$AG$273</v>
      </c>
      <c r="Q273" s="138" t="str">
        <f ca="1">IF(J272&gt;=11,(MID(P273,1,1)&amp;MID(P273,2,3)+1),CELL("address",AH273))</f>
        <v>$AH$273</v>
      </c>
      <c r="R273" s="138" t="str">
        <f ca="1">IF(J272&gt;=12,(MID(Q273,1,1)&amp;MID(Q273,2,3)+1),CELL("address",AI273))</f>
        <v>$AI$273</v>
      </c>
    </row>
    <row r="274" spans="1:8" ht="15" customHeight="1">
      <c r="A274" s="226"/>
      <c r="B274" s="226"/>
      <c r="C274" s="226"/>
      <c r="D274" s="51" t="s">
        <v>92</v>
      </c>
      <c r="E274" s="52">
        <v>0.341</v>
      </c>
      <c r="G274" s="129" t="str">
        <f>CONCATENATE(D274," - ",E274,", ")</f>
        <v>4/core PVC Alumn. Cable scrap - 0.341, </v>
      </c>
      <c r="H274" s="144"/>
    </row>
    <row r="275" spans="1:8" ht="15" customHeight="1">
      <c r="A275" s="226"/>
      <c r="B275" s="226"/>
      <c r="C275" s="226"/>
      <c r="D275" s="105" t="s">
        <v>93</v>
      </c>
      <c r="E275" s="52">
        <v>0.944</v>
      </c>
      <c r="G275" s="129" t="str">
        <f>CONCATENATE(D275," - ",E275,", ")</f>
        <v>3/ core XLPE Alu cable scrap - 0.944, </v>
      </c>
      <c r="H275" s="144"/>
    </row>
    <row r="276" spans="1:8" ht="15" customHeight="1">
      <c r="A276" s="45"/>
      <c r="B276" s="47"/>
      <c r="C276" s="48"/>
      <c r="D276" s="51"/>
      <c r="E276" s="52"/>
      <c r="G276" s="129"/>
      <c r="H276" s="144"/>
    </row>
    <row r="277" spans="1:8" ht="15" customHeight="1">
      <c r="A277" s="56"/>
      <c r="B277" s="187"/>
      <c r="C277" s="188"/>
      <c r="D277" s="104"/>
      <c r="E277" s="57">
        <f>SUM(E279:E282)</f>
        <v>2.011</v>
      </c>
      <c r="G277" s="129"/>
      <c r="H277" s="144"/>
    </row>
    <row r="278" spans="1:18" ht="15" customHeight="1">
      <c r="A278" s="46" t="s">
        <v>5</v>
      </c>
      <c r="B278" s="233" t="s">
        <v>17</v>
      </c>
      <c r="C278" s="235"/>
      <c r="D278" s="182" t="s">
        <v>18</v>
      </c>
      <c r="E278" s="46" t="s">
        <v>7</v>
      </c>
      <c r="G278" s="131" t="str">
        <f>CONCATENATE("Cable Scrap, Lying at ",B279,". Quantity in MT - ")</f>
        <v>Cable Scrap, Lying at OL Malerkotla. Quantity in MT - </v>
      </c>
      <c r="H278" s="256" t="str">
        <f ca="1">CONCATENATE(G278,G279,(INDIRECT(I279)),(INDIRECT(J279)),(INDIRECT(K279)),(INDIRECT(L279)),(INDIRECT(M279)),(INDIRECT(N279)),(INDIRECT(O279)),(INDIRECT(P279)),(INDIRECT(Q279)),(INDIRECT(R279)),".")</f>
        <v>Cable Scrap, Lying at OL Malerkotla. Quantity in MT - 2/core PVC Alumn. Cable scrap - 0.284, 4/core PVC Alumn. Cable scrap - 0.535, 3/ core XLPE Alu cable scrap - 0.72, ABC cable scrap (70/95 mm) - 0.472, .</v>
      </c>
      <c r="I278" s="138" t="str">
        <f aca="true" ca="1" t="array" ref="I278">CELL("address",INDEX(G278:G320,MATCH(TRUE,ISBLANK(G278:G320),0)))</f>
        <v>$G$283</v>
      </c>
      <c r="J278" s="138">
        <f aca="true" t="array" ref="J278">MATCH(TRUE,ISBLANK(G278:G320),0)</f>
        <v>6</v>
      </c>
      <c r="K278" s="138">
        <f>J278-3</f>
        <v>3</v>
      </c>
      <c r="L278" s="138"/>
      <c r="M278" s="138"/>
      <c r="N278" s="138"/>
      <c r="O278" s="138"/>
      <c r="P278" s="138"/>
      <c r="Q278" s="138"/>
      <c r="R278" s="138"/>
    </row>
    <row r="279" spans="1:18" ht="15" customHeight="1">
      <c r="A279" s="226" t="s">
        <v>270</v>
      </c>
      <c r="B279" s="226" t="s">
        <v>128</v>
      </c>
      <c r="C279" s="226"/>
      <c r="D279" s="51" t="s">
        <v>91</v>
      </c>
      <c r="E279" s="46">
        <v>0.284</v>
      </c>
      <c r="G279" s="129" t="str">
        <f>CONCATENATE(D279," - ",E279,", ")</f>
        <v>2/core PVC Alumn. Cable scrap - 0.284, </v>
      </c>
      <c r="H279" s="256"/>
      <c r="I279" s="138" t="str">
        <f ca="1">IF(J278&gt;=3,(MID(I278,2,1)&amp;MID(I278,4,3)-K278),CELL("address",Z279))</f>
        <v>G280</v>
      </c>
      <c r="J279" s="138" t="str">
        <f ca="1">IF(J278&gt;=4,(MID(I279,1,1)&amp;MID(I279,2,3)+1),CELL("address",AA279))</f>
        <v>G281</v>
      </c>
      <c r="K279" s="138" t="str">
        <f ca="1">IF(J278&gt;=5,(MID(J279,1,1)&amp;MID(J279,2,3)+1),CELL("address",AB279))</f>
        <v>G282</v>
      </c>
      <c r="L279" s="138" t="str">
        <f ca="1">IF(J278&gt;=6,(MID(K279,1,1)&amp;MID(K279,2,3)+1),CELL("address",AC279))</f>
        <v>G283</v>
      </c>
      <c r="M279" s="138" t="str">
        <f ca="1">IF(J278&gt;=7,(MID(L279,1,1)&amp;MID(L279,2,3)+1),CELL("address",AD279))</f>
        <v>$AD$279</v>
      </c>
      <c r="N279" s="138" t="str">
        <f ca="1">IF(J278&gt;=8,(MID(M279,1,1)&amp;MID(M279,2,3)+1),CELL("address",AE279))</f>
        <v>$AE$279</v>
      </c>
      <c r="O279" s="138" t="str">
        <f ca="1">IF(J278&gt;=9,(MID(N279,1,1)&amp;MID(N279,2,3)+1),CELL("address",AF279))</f>
        <v>$AF$279</v>
      </c>
      <c r="P279" s="138" t="str">
        <f ca="1">IF(J278&gt;=10,(MID(O279,1,1)&amp;MID(O279,2,3)+1),CELL("address",AG279))</f>
        <v>$AG$279</v>
      </c>
      <c r="Q279" s="138" t="str">
        <f ca="1">IF(J278&gt;=11,(MID(P279,1,1)&amp;MID(P279,2,3)+1),CELL("address",AH279))</f>
        <v>$AH$279</v>
      </c>
      <c r="R279" s="138" t="str">
        <f ca="1">IF(J278&gt;=12,(MID(Q279,1,1)&amp;MID(Q279,2,3)+1),CELL("address",AI279))</f>
        <v>$AI$279</v>
      </c>
    </row>
    <row r="280" spans="1:8" ht="15" customHeight="1">
      <c r="A280" s="226"/>
      <c r="B280" s="226"/>
      <c r="C280" s="226"/>
      <c r="D280" s="51" t="s">
        <v>92</v>
      </c>
      <c r="E280" s="52">
        <v>0.535</v>
      </c>
      <c r="G280" s="129" t="str">
        <f>CONCATENATE(D280," - ",E280,", ")</f>
        <v>4/core PVC Alumn. Cable scrap - 0.535, </v>
      </c>
      <c r="H280" s="144"/>
    </row>
    <row r="281" spans="1:8" ht="15" customHeight="1">
      <c r="A281" s="226"/>
      <c r="B281" s="226"/>
      <c r="C281" s="226"/>
      <c r="D281" s="51" t="s">
        <v>93</v>
      </c>
      <c r="E281" s="52">
        <v>0.72</v>
      </c>
      <c r="G281" s="129" t="str">
        <f>CONCATENATE(D281," - ",E281,", ")</f>
        <v>3/ core XLPE Alu cable scrap - 0.72, </v>
      </c>
      <c r="H281" s="144"/>
    </row>
    <row r="282" spans="1:8" ht="15" customHeight="1">
      <c r="A282" s="226"/>
      <c r="B282" s="226"/>
      <c r="C282" s="226"/>
      <c r="D282" s="88" t="s">
        <v>169</v>
      </c>
      <c r="E282" s="89">
        <v>0.472</v>
      </c>
      <c r="G282" s="129" t="str">
        <f>CONCATENATE(D282," - ",E282,", ")</f>
        <v>ABC cable scrap (70/95 mm) - 0.472, </v>
      </c>
      <c r="H282" s="144"/>
    </row>
    <row r="283" spans="1:8" ht="15" customHeight="1">
      <c r="A283" s="45"/>
      <c r="B283" s="47"/>
      <c r="C283" s="48"/>
      <c r="D283" s="95"/>
      <c r="E283" s="96"/>
      <c r="G283" s="129"/>
      <c r="H283" s="144"/>
    </row>
    <row r="284" spans="1:8" ht="15" customHeight="1">
      <c r="A284" s="56"/>
      <c r="B284" s="187"/>
      <c r="C284" s="188"/>
      <c r="D284" s="104"/>
      <c r="E284" s="57">
        <f>SUM(E286:E289)</f>
        <v>4.504</v>
      </c>
      <c r="G284" s="129"/>
      <c r="H284" s="144"/>
    </row>
    <row r="285" spans="1:18" ht="15" customHeight="1">
      <c r="A285" s="46" t="s">
        <v>5</v>
      </c>
      <c r="B285" s="233" t="s">
        <v>17</v>
      </c>
      <c r="C285" s="235"/>
      <c r="D285" s="182" t="s">
        <v>18</v>
      </c>
      <c r="E285" s="46" t="s">
        <v>7</v>
      </c>
      <c r="G285" s="131" t="str">
        <f>CONCATENATE("Cable Scrap, Lying at ",B286,". Quantity in MT - ")</f>
        <v>Cable Scrap, Lying at OL Moga. Quantity in MT - </v>
      </c>
      <c r="H285" s="256" t="str">
        <f ca="1">CONCATENATE(G285,G286,(INDIRECT(I286)),(INDIRECT(J286)),(INDIRECT(K286)),(INDIRECT(L286)),(INDIRECT(M286)),(INDIRECT(N286)),(INDIRECT(O286)),(INDIRECT(P286)),(INDIRECT(Q286)),(INDIRECT(R286)),".")</f>
        <v>Cable Scrap, Lying at OL Moga. Quantity in MT - 2/core PVC Alumn. Cable scrap - 1.131, 4/core PVC Alumn. Cable scrap - 1.778, 1/ core XLPE Alu cable scrap - 0.215, 3/ core XLPE Alu cable scrap - 1.38, .</v>
      </c>
      <c r="I285" s="138" t="str">
        <f aca="true" ca="1" t="array" ref="I285">CELL("address",INDEX(G285:G328,MATCH(TRUE,ISBLANK(G285:G328),0)))</f>
        <v>$G$290</v>
      </c>
      <c r="J285" s="138">
        <f aca="true" t="array" ref="J285">MATCH(TRUE,ISBLANK(G285:G328),0)</f>
        <v>6</v>
      </c>
      <c r="K285" s="138">
        <f>J285-3</f>
        <v>3</v>
      </c>
      <c r="L285" s="138"/>
      <c r="M285" s="138"/>
      <c r="N285" s="138"/>
      <c r="O285" s="138"/>
      <c r="P285" s="138"/>
      <c r="Q285" s="138"/>
      <c r="R285" s="138"/>
    </row>
    <row r="286" spans="1:18" ht="15" customHeight="1">
      <c r="A286" s="226" t="s">
        <v>273</v>
      </c>
      <c r="B286" s="226" t="s">
        <v>274</v>
      </c>
      <c r="C286" s="226"/>
      <c r="D286" s="51" t="s">
        <v>91</v>
      </c>
      <c r="E286" s="46">
        <v>1.131</v>
      </c>
      <c r="G286" s="129" t="str">
        <f>CONCATENATE(D286," - ",E286,", ")</f>
        <v>2/core PVC Alumn. Cable scrap - 1.131, </v>
      </c>
      <c r="H286" s="256"/>
      <c r="I286" s="138" t="str">
        <f ca="1">IF(J285&gt;=3,(MID(I285,2,1)&amp;MID(I285,4,3)-K285),CELL("address",Z286))</f>
        <v>G287</v>
      </c>
      <c r="J286" s="138" t="str">
        <f ca="1">IF(J285&gt;=4,(MID(I286,1,1)&amp;MID(I286,2,3)+1),CELL("address",AA286))</f>
        <v>G288</v>
      </c>
      <c r="K286" s="138" t="str">
        <f ca="1">IF(J285&gt;=5,(MID(J286,1,1)&amp;MID(J286,2,3)+1),CELL("address",AB286))</f>
        <v>G289</v>
      </c>
      <c r="L286" s="138" t="str">
        <f ca="1">IF(J285&gt;=6,(MID(K286,1,1)&amp;MID(K286,2,3)+1),CELL("address",AC286))</f>
        <v>G290</v>
      </c>
      <c r="M286" s="138" t="str">
        <f ca="1">IF(J285&gt;=7,(MID(L286,1,1)&amp;MID(L286,2,3)+1),CELL("address",AD286))</f>
        <v>$AD$286</v>
      </c>
      <c r="N286" s="138" t="str">
        <f ca="1">IF(J285&gt;=8,(MID(M286,1,1)&amp;MID(M286,2,3)+1),CELL("address",AE286))</f>
        <v>$AE$286</v>
      </c>
      <c r="O286" s="138" t="str">
        <f ca="1">IF(J285&gt;=9,(MID(N286,1,1)&amp;MID(N286,2,3)+1),CELL("address",AF286))</f>
        <v>$AF$286</v>
      </c>
      <c r="P286" s="138" t="str">
        <f ca="1">IF(J285&gt;=10,(MID(O286,1,1)&amp;MID(O286,2,3)+1),CELL("address",AG286))</f>
        <v>$AG$286</v>
      </c>
      <c r="Q286" s="138" t="str">
        <f ca="1">IF(J285&gt;=11,(MID(P286,1,1)&amp;MID(P286,2,3)+1),CELL("address",AH286))</f>
        <v>$AH$286</v>
      </c>
      <c r="R286" s="138" t="str">
        <f ca="1">IF(J285&gt;=12,(MID(Q286,1,1)&amp;MID(Q286,2,3)+1),CELL("address",AI286))</f>
        <v>$AI$286</v>
      </c>
    </row>
    <row r="287" spans="1:8" ht="15" customHeight="1">
      <c r="A287" s="226"/>
      <c r="B287" s="226"/>
      <c r="C287" s="226"/>
      <c r="D287" s="51" t="s">
        <v>92</v>
      </c>
      <c r="E287" s="52">
        <v>1.778</v>
      </c>
      <c r="G287" s="129" t="str">
        <f>CONCATENATE(D287," - ",E287,", ")</f>
        <v>4/core PVC Alumn. Cable scrap - 1.778, </v>
      </c>
      <c r="H287" s="144"/>
    </row>
    <row r="288" spans="1:8" ht="15" customHeight="1">
      <c r="A288" s="226"/>
      <c r="B288" s="226"/>
      <c r="C288" s="226"/>
      <c r="D288" s="51" t="s">
        <v>98</v>
      </c>
      <c r="E288" s="52">
        <v>0.215</v>
      </c>
      <c r="G288" s="129" t="str">
        <f>CONCATENATE(D288," - ",E288,", ")</f>
        <v>1/ core XLPE Alu cable scrap - 0.215, </v>
      </c>
      <c r="H288" s="144"/>
    </row>
    <row r="289" spans="1:8" ht="15" customHeight="1">
      <c r="A289" s="226"/>
      <c r="B289" s="226"/>
      <c r="C289" s="226"/>
      <c r="D289" s="51" t="s">
        <v>93</v>
      </c>
      <c r="E289" s="89">
        <v>1.38</v>
      </c>
      <c r="G289" s="129" t="str">
        <f>CONCATENATE(D289," - ",E289,", ")</f>
        <v>3/ core XLPE Alu cable scrap - 1.38, </v>
      </c>
      <c r="H289" s="142"/>
    </row>
    <row r="290" spans="1:8" ht="15" customHeight="1">
      <c r="A290" s="45"/>
      <c r="B290" s="47"/>
      <c r="C290" s="48"/>
      <c r="D290" s="39"/>
      <c r="E290" s="96"/>
      <c r="G290" s="129"/>
      <c r="H290" s="142"/>
    </row>
    <row r="291" spans="1:8" ht="15" customHeight="1">
      <c r="A291" s="13" t="s">
        <v>13</v>
      </c>
      <c r="B291" s="14"/>
      <c r="C291" s="10"/>
      <c r="D291" s="39"/>
      <c r="E291" s="40"/>
      <c r="G291" s="129"/>
      <c r="H291" s="142"/>
    </row>
    <row r="292" spans="1:8" ht="15" customHeight="1">
      <c r="A292" s="60"/>
      <c r="B292" s="61"/>
      <c r="C292" s="62"/>
      <c r="D292" s="62"/>
      <c r="E292" s="63">
        <f>SUM(E294:E295)</f>
        <v>22.312</v>
      </c>
      <c r="G292" s="129"/>
      <c r="H292" s="142"/>
    </row>
    <row r="293" spans="1:18" ht="15" customHeight="1">
      <c r="A293" s="226" t="s">
        <v>5</v>
      </c>
      <c r="B293" s="226"/>
      <c r="C293" s="64" t="s">
        <v>17</v>
      </c>
      <c r="D293" s="179" t="s">
        <v>18</v>
      </c>
      <c r="E293" s="46" t="s">
        <v>7</v>
      </c>
      <c r="G293" s="131" t="str">
        <f>CONCATENATE("Misc. Iron Scrap, Lying at ",C294,". Quantity in MT - ")</f>
        <v>Misc. Iron Scrap, Lying at Pilot W/Shop Sri Muktsar Sahib. Quantity in MT - </v>
      </c>
      <c r="H293" s="256" t="str">
        <f ca="1">CONCATENATE(G293,G294,(INDIRECT(I294)),(INDIRECT(J294)),(INDIRECT(K294)),(INDIRECT(L294)),(INDIRECT(M294)),(INDIRECT(N294)),(INDIRECT(O294)),(INDIRECT(P294)),(INDIRECT(Q294)),(INDIRECT(R294)),".")</f>
        <v>Misc. Iron Scrap, Lying at Pilot W/Shop Sri Muktsar Sahib. Quantity in MT - MS iron scrap / GI scrap - 10.182, HT wire scrap off size - 12.13, .</v>
      </c>
      <c r="I293" s="138" t="str">
        <f aca="true" ca="1" t="array" ref="I293">CELL("address",INDEX(G293:G311,MATCH(TRUE,ISBLANK(G293:G311),0)))</f>
        <v>$G$296</v>
      </c>
      <c r="J293" s="138">
        <f aca="true" t="array" ref="J293">MATCH(TRUE,ISBLANK(G293:G311),0)</f>
        <v>4</v>
      </c>
      <c r="K293" s="138">
        <f>J293-3</f>
        <v>1</v>
      </c>
      <c r="L293" s="138"/>
      <c r="M293" s="138"/>
      <c r="N293" s="138"/>
      <c r="O293" s="138"/>
      <c r="P293" s="138"/>
      <c r="Q293" s="138"/>
      <c r="R293" s="138"/>
    </row>
    <row r="294" spans="1:18" ht="15" customHeight="1">
      <c r="A294" s="239" t="s">
        <v>21</v>
      </c>
      <c r="B294" s="312"/>
      <c r="C294" s="227" t="s">
        <v>19</v>
      </c>
      <c r="D294" s="46" t="s">
        <v>20</v>
      </c>
      <c r="E294" s="52">
        <v>10.182</v>
      </c>
      <c r="G294" s="129" t="str">
        <f>CONCATENATE(D294," - ",E294,", ")</f>
        <v>MS iron scrap / GI scrap - 10.182, </v>
      </c>
      <c r="H294" s="256"/>
      <c r="I294" s="138" t="str">
        <f ca="1">IF(J293&gt;=3,(MID(I293,2,1)&amp;MID(I293,4,3)-K293),CELL("address",Z294))</f>
        <v>G295</v>
      </c>
      <c r="J294" s="138" t="str">
        <f ca="1">IF(J293&gt;=4,(MID(I294,1,1)&amp;MID(I294,2,3)+1),CELL("address",AA294))</f>
        <v>G296</v>
      </c>
      <c r="K294" s="138" t="str">
        <f ca="1">IF(J293&gt;=5,(MID(J294,1,1)&amp;MID(J294,2,3)+1),CELL("address",AB294))</f>
        <v>$AB$294</v>
      </c>
      <c r="L294" s="138" t="str">
        <f ca="1">IF(J293&gt;=6,(MID(K294,1,1)&amp;MID(K294,2,3)+1),CELL("address",AC294))</f>
        <v>$AC$294</v>
      </c>
      <c r="M294" s="138" t="str">
        <f ca="1">IF(J293&gt;=7,(MID(L294,1,1)&amp;MID(L294,2,3)+1),CELL("address",AD294))</f>
        <v>$AD$294</v>
      </c>
      <c r="N294" s="138" t="str">
        <f ca="1">IF(J293&gt;=8,(MID(M294,1,1)&amp;MID(M294,2,3)+1),CELL("address",AE294))</f>
        <v>$AE$294</v>
      </c>
      <c r="O294" s="138" t="str">
        <f ca="1">IF(J293&gt;=9,(MID(N294,1,1)&amp;MID(N294,2,3)+1),CELL("address",AF294))</f>
        <v>$AF$294</v>
      </c>
      <c r="P294" s="138" t="str">
        <f ca="1">IF(J293&gt;=10,(MID(O294,1,1)&amp;MID(O294,2,3)+1),CELL("address",AG294))</f>
        <v>$AG$294</v>
      </c>
      <c r="Q294" s="138" t="str">
        <f ca="1">IF(J293&gt;=11,(MID(P294,1,1)&amp;MID(P294,2,3)+1),CELL("address",AH294))</f>
        <v>$AH$294</v>
      </c>
      <c r="R294" s="138" t="str">
        <f ca="1">IF(J293&gt;=12,(MID(Q294,1,1)&amp;MID(Q294,2,3)+1),CELL("address",AI294))</f>
        <v>$AI$294</v>
      </c>
    </row>
    <row r="295" spans="1:8" ht="15" customHeight="1">
      <c r="A295" s="287"/>
      <c r="B295" s="288"/>
      <c r="C295" s="263"/>
      <c r="D295" s="46" t="s">
        <v>72</v>
      </c>
      <c r="E295" s="52">
        <v>12.13</v>
      </c>
      <c r="G295" s="129" t="str">
        <f>CONCATENATE(D295," - ",E295,", ")</f>
        <v>HT wire scrap off size - 12.13, </v>
      </c>
      <c r="H295" s="142"/>
    </row>
    <row r="296" spans="1:8" ht="15" customHeight="1">
      <c r="A296" s="45"/>
      <c r="B296" s="47"/>
      <c r="C296" s="54"/>
      <c r="D296" s="44"/>
      <c r="E296" s="65"/>
      <c r="G296" s="129"/>
      <c r="H296" s="142"/>
    </row>
    <row r="297" spans="1:8" ht="15" customHeight="1">
      <c r="A297" s="60"/>
      <c r="B297" s="61"/>
      <c r="C297" s="62"/>
      <c r="D297" s="62"/>
      <c r="E297" s="63">
        <f>SUM(E299:E300)</f>
        <v>19.325</v>
      </c>
      <c r="G297" s="129"/>
      <c r="H297" s="142"/>
    </row>
    <row r="298" spans="1:18" ht="15" customHeight="1">
      <c r="A298" s="226" t="s">
        <v>5</v>
      </c>
      <c r="B298" s="226"/>
      <c r="C298" s="64" t="s">
        <v>17</v>
      </c>
      <c r="D298" s="179" t="s">
        <v>18</v>
      </c>
      <c r="E298" s="46" t="s">
        <v>7</v>
      </c>
      <c r="G298" s="131" t="str">
        <f>CONCATENATE("Misc. Iron Scrap, Lying at ",C299,". Quantity in MT - ")</f>
        <v>Misc. Iron Scrap, Lying at Pilot Workshop Mohali. Quantity in MT - </v>
      </c>
      <c r="H298" s="256" t="str">
        <f ca="1">CONCATENATE(G298,G299,(INDIRECT(I299)),(INDIRECT(J299)),(INDIRECT(K299)),(INDIRECT(L299)),(INDIRECT(M299)),(INDIRECT(N299)),(INDIRECT(O299)),(INDIRECT(P299)),(INDIRECT(Q299)),(INDIRECT(R299)),".")</f>
        <v>Misc. Iron Scrap, Lying at Pilot Workshop Mohali. Quantity in MT - HT Wire scrap &amp; other intermingled iron scrap - 14, MS iron scrap ( MS sections, scrapped T&amp;P etc) - 5.325, .</v>
      </c>
      <c r="I298" s="138" t="str">
        <f aca="true" ca="1" t="array" ref="I298">CELL("address",INDEX(G298:G316,MATCH(TRUE,ISBLANK(G298:G316),0)))</f>
        <v>$G$301</v>
      </c>
      <c r="J298" s="138">
        <f aca="true" t="array" ref="J298">MATCH(TRUE,ISBLANK(G298:G316),0)</f>
        <v>4</v>
      </c>
      <c r="K298" s="138">
        <f>J298-3</f>
        <v>1</v>
      </c>
      <c r="L298" s="138"/>
      <c r="M298" s="138"/>
      <c r="N298" s="138"/>
      <c r="O298" s="138"/>
      <c r="P298" s="138"/>
      <c r="Q298" s="138"/>
      <c r="R298" s="138"/>
    </row>
    <row r="299" spans="1:18" ht="15" customHeight="1">
      <c r="A299" s="226" t="s">
        <v>30</v>
      </c>
      <c r="B299" s="226"/>
      <c r="C299" s="227" t="s">
        <v>55</v>
      </c>
      <c r="D299" s="48" t="s">
        <v>56</v>
      </c>
      <c r="E299" s="52">
        <v>14</v>
      </c>
      <c r="G299" s="129" t="str">
        <f>CONCATENATE(D299," - ",E299,", ")</f>
        <v>HT Wire scrap &amp; other intermingled iron scrap - 14, </v>
      </c>
      <c r="H299" s="256"/>
      <c r="I299" s="138" t="str">
        <f ca="1">IF(J298&gt;=3,(MID(I298,2,1)&amp;MID(I298,4,3)-K298),CELL("address",Z299))</f>
        <v>G300</v>
      </c>
      <c r="J299" s="138" t="str">
        <f ca="1">IF(J298&gt;=4,(MID(I299,1,1)&amp;MID(I299,2,3)+1),CELL("address",AA299))</f>
        <v>G301</v>
      </c>
      <c r="K299" s="138" t="str">
        <f ca="1">IF(J298&gt;=5,(MID(J299,1,1)&amp;MID(J299,2,3)+1),CELL("address",AB299))</f>
        <v>$AB$299</v>
      </c>
      <c r="L299" s="138" t="str">
        <f ca="1">IF(J298&gt;=6,(MID(K299,1,1)&amp;MID(K299,2,3)+1),CELL("address",AC299))</f>
        <v>$AC$299</v>
      </c>
      <c r="M299" s="138" t="str">
        <f ca="1">IF(J298&gt;=7,(MID(L299,1,1)&amp;MID(L299,2,3)+1),CELL("address",AD299))</f>
        <v>$AD$299</v>
      </c>
      <c r="N299" s="138" t="str">
        <f ca="1">IF(J298&gt;=8,(MID(M299,1,1)&amp;MID(M299,2,3)+1),CELL("address",AE299))</f>
        <v>$AE$299</v>
      </c>
      <c r="O299" s="138" t="str">
        <f ca="1">IF(J298&gt;=9,(MID(N299,1,1)&amp;MID(N299,2,3)+1),CELL("address",AF299))</f>
        <v>$AF$299</v>
      </c>
      <c r="P299" s="138" t="str">
        <f ca="1">IF(J298&gt;=10,(MID(O299,1,1)&amp;MID(O299,2,3)+1),CELL("address",AG299))</f>
        <v>$AG$299</v>
      </c>
      <c r="Q299" s="138" t="str">
        <f ca="1">IF(J298&gt;=11,(MID(P299,1,1)&amp;MID(P299,2,3)+1),CELL("address",AH299))</f>
        <v>$AH$299</v>
      </c>
      <c r="R299" s="138" t="str">
        <f ca="1">IF(J298&gt;=12,(MID(Q299,1,1)&amp;MID(Q299,2,3)+1),CELL("address",AI299))</f>
        <v>$AI$299</v>
      </c>
    </row>
    <row r="300" spans="1:8" ht="15" customHeight="1">
      <c r="A300" s="226"/>
      <c r="B300" s="226"/>
      <c r="C300" s="227"/>
      <c r="D300" s="93" t="s">
        <v>57</v>
      </c>
      <c r="E300" s="52">
        <v>5.325</v>
      </c>
      <c r="G300" s="129" t="str">
        <f>CONCATENATE(D300," - ",E300,", ")</f>
        <v>MS iron scrap ( MS sections, scrapped T&amp;P etc) - 5.325, </v>
      </c>
      <c r="H300" s="142"/>
    </row>
    <row r="301" spans="1:8" ht="15" customHeight="1">
      <c r="A301" s="45"/>
      <c r="B301" s="47"/>
      <c r="C301" s="54"/>
      <c r="D301" s="44"/>
      <c r="E301" s="65"/>
      <c r="G301" s="129"/>
      <c r="H301" s="142"/>
    </row>
    <row r="302" spans="1:8" ht="15" customHeight="1">
      <c r="A302" s="60"/>
      <c r="B302" s="61"/>
      <c r="C302" s="61"/>
      <c r="D302" s="62"/>
      <c r="E302" s="66">
        <f>SUM(E304:E304)</f>
        <v>26687</v>
      </c>
      <c r="G302" s="129"/>
      <c r="H302" s="142"/>
    </row>
    <row r="303" spans="1:18" ht="15" customHeight="1">
      <c r="A303" s="226" t="s">
        <v>5</v>
      </c>
      <c r="B303" s="226"/>
      <c r="C303" s="46" t="s">
        <v>17</v>
      </c>
      <c r="D303" s="179" t="s">
        <v>18</v>
      </c>
      <c r="E303" s="46" t="s">
        <v>70</v>
      </c>
      <c r="G303" s="131" t="str">
        <f>CONCATENATE("Misc. Iron Scrap, Lying at ",C304,". Quantity in No - ")</f>
        <v>Misc. Iron Scrap, Lying at S &amp; T Store Bathinda. Quantity in No - </v>
      </c>
      <c r="H303" s="256" t="str">
        <f ca="1">CONCATENATE(G303,G304,(INDIRECT(I304)),(INDIRECT(J304)),(INDIRECT(K304)),(INDIRECT(L304)),(INDIRECT(M304)),(INDIRECT(N304)),(INDIRECT(O304)),(INDIRECT(P304)),(INDIRECT(Q304)),(INDIRECT(R304)),".")</f>
        <v>Misc. Iron Scrap, Lying at S &amp; T Store Bathinda. Quantity in No - Disc Insulator Scrap - 26687, .</v>
      </c>
      <c r="I303" s="138" t="str">
        <f aca="true" ca="1" t="array" ref="I303">CELL("address",INDEX(G303:G324,MATCH(TRUE,ISBLANK(G303:G324),0)))</f>
        <v>$G$305</v>
      </c>
      <c r="J303" s="138">
        <f aca="true" t="array" ref="J303">MATCH(TRUE,ISBLANK(G303:G324),0)</f>
        <v>3</v>
      </c>
      <c r="K303" s="138">
        <f>J303-3</f>
        <v>0</v>
      </c>
      <c r="L303" s="138"/>
      <c r="M303" s="138"/>
      <c r="N303" s="138"/>
      <c r="O303" s="138"/>
      <c r="P303" s="138"/>
      <c r="Q303" s="138"/>
      <c r="R303" s="138"/>
    </row>
    <row r="304" spans="1:18" ht="15" customHeight="1">
      <c r="A304" s="239" t="s">
        <v>33</v>
      </c>
      <c r="B304" s="240"/>
      <c r="C304" s="184" t="s">
        <v>58</v>
      </c>
      <c r="D304" s="46" t="s">
        <v>71</v>
      </c>
      <c r="E304" s="67">
        <v>26687</v>
      </c>
      <c r="G304" s="129" t="str">
        <f>CONCATENATE(D304," - ",E304,", ")</f>
        <v>Disc Insulator Scrap - 26687, </v>
      </c>
      <c r="H304" s="256"/>
      <c r="I304" s="138" t="str">
        <f ca="1">IF(J303&gt;=3,(MID(I303,2,1)&amp;MID(I303,4,3)-K303),CELL("address",Z304))</f>
        <v>G305</v>
      </c>
      <c r="J304" s="138" t="str">
        <f ca="1">IF(J303&gt;=4,(MID(I304,1,1)&amp;MID(I304,2,3)+1),CELL("address",AA304))</f>
        <v>$AA$304</v>
      </c>
      <c r="K304" s="138" t="str">
        <f ca="1">IF(J303&gt;=5,(MID(J304,1,1)&amp;MID(J304,2,3)+1),CELL("address",AB304))</f>
        <v>$AB$304</v>
      </c>
      <c r="L304" s="138" t="str">
        <f ca="1">IF(J303&gt;=6,(MID(K304,1,1)&amp;MID(K304,2,3)+1),CELL("address",AC304))</f>
        <v>$AC$304</v>
      </c>
      <c r="M304" s="138" t="str">
        <f ca="1">IF(J303&gt;=7,(MID(L304,1,1)&amp;MID(L304,2,3)+1),CELL("address",AD304))</f>
        <v>$AD$304</v>
      </c>
      <c r="N304" s="138" t="str">
        <f ca="1">IF(J303&gt;=8,(MID(M304,1,1)&amp;MID(M304,2,3)+1),CELL("address",AE304))</f>
        <v>$AE$304</v>
      </c>
      <c r="O304" s="138" t="str">
        <f ca="1">IF(J303&gt;=9,(MID(N304,1,1)&amp;MID(N304,2,3)+1),CELL("address",AF304))</f>
        <v>$AF$304</v>
      </c>
      <c r="P304" s="138" t="str">
        <f ca="1">IF(J303&gt;=10,(MID(O304,1,1)&amp;MID(O304,2,3)+1),CELL("address",AG304))</f>
        <v>$AG$304</v>
      </c>
      <c r="Q304" s="138" t="str">
        <f ca="1">IF(J303&gt;=11,(MID(P304,1,1)&amp;MID(P304,2,3)+1),CELL("address",AH304))</f>
        <v>$AH$304</v>
      </c>
      <c r="R304" s="138" t="str">
        <f ca="1">IF(J303&gt;=12,(MID(Q304,1,1)&amp;MID(Q304,2,3)+1),CELL("address",AI304))</f>
        <v>$AI$304</v>
      </c>
    </row>
    <row r="305" spans="1:8" ht="15" customHeight="1">
      <c r="A305" s="45"/>
      <c r="B305" s="48"/>
      <c r="C305" s="179"/>
      <c r="D305" s="46"/>
      <c r="E305" s="68"/>
      <c r="G305" s="129"/>
      <c r="H305" s="142"/>
    </row>
    <row r="306" spans="1:8" ht="15" customHeight="1">
      <c r="A306" s="60"/>
      <c r="B306" s="61"/>
      <c r="C306" s="61"/>
      <c r="D306" s="62"/>
      <c r="E306" s="63">
        <f>SUM(E308:E309)</f>
        <v>128.268</v>
      </c>
      <c r="G306" s="129"/>
      <c r="H306" s="142"/>
    </row>
    <row r="307" spans="1:18" ht="15" customHeight="1">
      <c r="A307" s="226" t="s">
        <v>5</v>
      </c>
      <c r="B307" s="226"/>
      <c r="C307" s="46" t="s">
        <v>17</v>
      </c>
      <c r="D307" s="179" t="s">
        <v>18</v>
      </c>
      <c r="E307" s="46" t="s">
        <v>7</v>
      </c>
      <c r="G307" s="131" t="str">
        <f>CONCATENATE("Misc. Iron Scrap, Lying at ",C308,". Quantity in MT - ")</f>
        <v>Misc. Iron Scrap, Lying at S &amp; T Store Bathinda. Quantity in MT - </v>
      </c>
      <c r="H307" s="256" t="str">
        <f ca="1">CONCATENATE(G307,G308,(INDIRECT(I308)),(INDIRECT(J308)),(INDIRECT(K308)),(INDIRECT(L308)),(INDIRECT(M308)),(INDIRECT(N308)),(INDIRECT(O308)),(INDIRECT(P308)),(INDIRECT(Q308)),(INDIRECT(R308)),".")</f>
        <v>Misc. Iron Scrap, Lying at S &amp; T Store Bathinda. Quantity in MT - MS Rail scrap - 123.916, Earthwire GSL scrap - 4.352, .</v>
      </c>
      <c r="I307" s="138" t="str">
        <f aca="true" ca="1" t="array" ref="I307">CELL("address",INDEX(G307:G329,MATCH(TRUE,ISBLANK(G307:G329),0)))</f>
        <v>$G$310</v>
      </c>
      <c r="J307" s="138">
        <f aca="true" t="array" ref="J307">MATCH(TRUE,ISBLANK(G307:G329),0)</f>
        <v>4</v>
      </c>
      <c r="K307" s="138">
        <f>J307-3</f>
        <v>1</v>
      </c>
      <c r="L307" s="138"/>
      <c r="M307" s="138"/>
      <c r="N307" s="138"/>
      <c r="O307" s="138"/>
      <c r="P307" s="138"/>
      <c r="Q307" s="138"/>
      <c r="R307" s="138"/>
    </row>
    <row r="308" spans="1:18" ht="15" customHeight="1">
      <c r="A308" s="226" t="s">
        <v>51</v>
      </c>
      <c r="B308" s="226"/>
      <c r="C308" s="227" t="s">
        <v>58</v>
      </c>
      <c r="D308" s="46" t="s">
        <v>62</v>
      </c>
      <c r="E308" s="52">
        <v>123.916</v>
      </c>
      <c r="G308" s="129" t="str">
        <f>CONCATENATE(D308," - ",E308,", ")</f>
        <v>MS Rail scrap - 123.916, </v>
      </c>
      <c r="H308" s="256"/>
      <c r="I308" s="138" t="str">
        <f ca="1">IF(J307&gt;=3,(MID(I307,2,1)&amp;MID(I307,4,3)-K307),CELL("address",Z308))</f>
        <v>G309</v>
      </c>
      <c r="J308" s="138" t="str">
        <f ca="1">IF(J307&gt;=4,(MID(I308,1,1)&amp;MID(I308,2,3)+1),CELL("address",AA308))</f>
        <v>G310</v>
      </c>
      <c r="K308" s="138" t="str">
        <f ca="1">IF(J307&gt;=5,(MID(J308,1,1)&amp;MID(J308,2,3)+1),CELL("address",AB308))</f>
        <v>$AB$308</v>
      </c>
      <c r="L308" s="138" t="str">
        <f ca="1">IF(J307&gt;=6,(MID(K308,1,1)&amp;MID(K308,2,3)+1),CELL("address",AC308))</f>
        <v>$AC$308</v>
      </c>
      <c r="M308" s="138" t="str">
        <f ca="1">IF(J307&gt;=7,(MID(L308,1,1)&amp;MID(L308,2,3)+1),CELL("address",AD308))</f>
        <v>$AD$308</v>
      </c>
      <c r="N308" s="138" t="str">
        <f ca="1">IF(J307&gt;=8,(MID(M308,1,1)&amp;MID(M308,2,3)+1),CELL("address",AE308))</f>
        <v>$AE$308</v>
      </c>
      <c r="O308" s="138" t="str">
        <f ca="1">IF(J307&gt;=9,(MID(N308,1,1)&amp;MID(N308,2,3)+1),CELL("address",AF308))</f>
        <v>$AF$308</v>
      </c>
      <c r="P308" s="138" t="str">
        <f ca="1">IF(J307&gt;=10,(MID(O308,1,1)&amp;MID(O308,2,3)+1),CELL("address",AG308))</f>
        <v>$AG$308</v>
      </c>
      <c r="Q308" s="138" t="str">
        <f ca="1">IF(J307&gt;=11,(MID(P308,1,1)&amp;MID(P308,2,3)+1),CELL("address",AH308))</f>
        <v>$AH$308</v>
      </c>
      <c r="R308" s="138" t="str">
        <f ca="1">IF(J307&gt;=12,(MID(Q308,1,1)&amp;MID(Q308,2,3)+1),CELL("address",AI308))</f>
        <v>$AI$308</v>
      </c>
    </row>
    <row r="309" spans="1:8" ht="15" customHeight="1">
      <c r="A309" s="226"/>
      <c r="B309" s="226"/>
      <c r="C309" s="227"/>
      <c r="D309" s="46" t="s">
        <v>139</v>
      </c>
      <c r="E309" s="52">
        <v>4.352</v>
      </c>
      <c r="G309" s="129" t="str">
        <f>CONCATENATE(D309," - ",E309,", ")</f>
        <v>Earthwire GSL scrap - 4.352, </v>
      </c>
      <c r="H309" s="142"/>
    </row>
    <row r="310" spans="1:8" ht="15" customHeight="1">
      <c r="A310" s="45"/>
      <c r="B310" s="47"/>
      <c r="C310" s="54"/>
      <c r="D310" s="47"/>
      <c r="E310" s="69"/>
      <c r="G310" s="129"/>
      <c r="H310" s="142"/>
    </row>
    <row r="311" spans="1:8" ht="15" customHeight="1">
      <c r="A311" s="60"/>
      <c r="B311" s="61"/>
      <c r="C311" s="61"/>
      <c r="D311" s="64"/>
      <c r="E311" s="59">
        <f>SUM(E313:E313)</f>
        <v>0.337</v>
      </c>
      <c r="G311" s="129"/>
      <c r="H311" s="142"/>
    </row>
    <row r="312" spans="1:18" ht="15" customHeight="1">
      <c r="A312" s="226" t="s">
        <v>5</v>
      </c>
      <c r="B312" s="226"/>
      <c r="C312" s="46" t="s">
        <v>17</v>
      </c>
      <c r="D312" s="179" t="s">
        <v>18</v>
      </c>
      <c r="E312" s="46" t="s">
        <v>7</v>
      </c>
      <c r="G312" s="131" t="str">
        <f>CONCATENATE("Misc. Iron Scrap, Lying at ",C313,". Quantity in MT - ")</f>
        <v>Misc. Iron Scrap, Lying at CS Ferozepur. Quantity in MT - </v>
      </c>
      <c r="H312" s="256" t="str">
        <f ca="1">CONCATENATE(G312,G313,(INDIRECT(I313)),(INDIRECT(J313)),(INDIRECT(K313)),(INDIRECT(L313)),(INDIRECT(M313)),(INDIRECT(N313)),(INDIRECT(O313)),(INDIRECT(P313)),(INDIRECT(Q313)),(INDIRECT(R313)),".")</f>
        <v>Misc. Iron Scrap, Lying at CS Ferozepur. Quantity in MT - MS iron scrap - 0.337, .</v>
      </c>
      <c r="I312" s="138" t="str">
        <f aca="true" ca="1" t="array" ref="I312">CELL("address",INDEX(G312:G331,MATCH(TRUE,ISBLANK(G312:G331),0)))</f>
        <v>$G$314</v>
      </c>
      <c r="J312" s="138">
        <f aca="true" t="array" ref="J312">MATCH(TRUE,ISBLANK(G312:G331),0)</f>
        <v>3</v>
      </c>
      <c r="K312" s="138">
        <f>J312-3</f>
        <v>0</v>
      </c>
      <c r="L312" s="138"/>
      <c r="M312" s="138"/>
      <c r="N312" s="138"/>
      <c r="O312" s="138"/>
      <c r="P312" s="138"/>
      <c r="Q312" s="138"/>
      <c r="R312" s="138"/>
    </row>
    <row r="313" spans="1:18" ht="15" customHeight="1">
      <c r="A313" s="226" t="s">
        <v>66</v>
      </c>
      <c r="B313" s="226"/>
      <c r="C313" s="179" t="s">
        <v>100</v>
      </c>
      <c r="D313" s="48" t="s">
        <v>29</v>
      </c>
      <c r="E313" s="69">
        <v>0.337</v>
      </c>
      <c r="G313" s="129" t="str">
        <f>CONCATENATE(D313," - ",E313,", ")</f>
        <v>MS iron scrap - 0.337, </v>
      </c>
      <c r="H313" s="256"/>
      <c r="I313" s="138" t="str">
        <f ca="1">IF(J312&gt;=3,(MID(I312,2,1)&amp;MID(I312,4,3)-K312),CELL("address",Z313))</f>
        <v>G314</v>
      </c>
      <c r="J313" s="138" t="str">
        <f ca="1">IF(J312&gt;=4,(MID(I313,1,1)&amp;MID(I313,2,3)+1),CELL("address",AA313))</f>
        <v>$AA$313</v>
      </c>
      <c r="K313" s="138" t="str">
        <f ca="1">IF(J312&gt;=5,(MID(J313,1,1)&amp;MID(J313,2,3)+1),CELL("address",AB313))</f>
        <v>$AB$313</v>
      </c>
      <c r="L313" s="138" t="str">
        <f ca="1">IF(J312&gt;=6,(MID(K313,1,1)&amp;MID(K313,2,3)+1),CELL("address",AC313))</f>
        <v>$AC$313</v>
      </c>
      <c r="M313" s="138" t="str">
        <f ca="1">IF(J312&gt;=7,(MID(L313,1,1)&amp;MID(L313,2,3)+1),CELL("address",AD313))</f>
        <v>$AD$313</v>
      </c>
      <c r="N313" s="138" t="str">
        <f ca="1">IF(J312&gt;=8,(MID(M313,1,1)&amp;MID(M313,2,3)+1),CELL("address",AE313))</f>
        <v>$AE$313</v>
      </c>
      <c r="O313" s="138" t="str">
        <f ca="1">IF(J312&gt;=9,(MID(N313,1,1)&amp;MID(N313,2,3)+1),CELL("address",AF313))</f>
        <v>$AF$313</v>
      </c>
      <c r="P313" s="138" t="str">
        <f ca="1">IF(J312&gt;=10,(MID(O313,1,1)&amp;MID(O313,2,3)+1),CELL("address",AG313))</f>
        <v>$AG$313</v>
      </c>
      <c r="Q313" s="138" t="str">
        <f ca="1">IF(J312&gt;=11,(MID(P313,1,1)&amp;MID(P313,2,3)+1),CELL("address",AH313))</f>
        <v>$AH$313</v>
      </c>
      <c r="R313" s="138" t="str">
        <f ca="1">IF(J312&gt;=12,(MID(Q313,1,1)&amp;MID(Q313,2,3)+1),CELL("address",AI313))</f>
        <v>$AI$313</v>
      </c>
    </row>
    <row r="314" spans="1:8" ht="15" customHeight="1">
      <c r="A314" s="45"/>
      <c r="B314" s="47"/>
      <c r="C314" s="54"/>
      <c r="D314" s="44"/>
      <c r="E314" s="73"/>
      <c r="G314" s="129"/>
      <c r="H314" s="142"/>
    </row>
    <row r="315" spans="1:8" ht="15" customHeight="1">
      <c r="A315" s="60"/>
      <c r="B315" s="61"/>
      <c r="C315" s="61"/>
      <c r="D315" s="64"/>
      <c r="E315" s="59">
        <f>SUM(E317:E321)</f>
        <v>8.654000000000002</v>
      </c>
      <c r="G315" s="129"/>
      <c r="H315" s="142"/>
    </row>
    <row r="316" spans="1:18" ht="15" customHeight="1">
      <c r="A316" s="226" t="s">
        <v>5</v>
      </c>
      <c r="B316" s="226"/>
      <c r="C316" s="46" t="s">
        <v>17</v>
      </c>
      <c r="D316" s="179" t="s">
        <v>18</v>
      </c>
      <c r="E316" s="46" t="s">
        <v>7</v>
      </c>
      <c r="G316" s="131" t="str">
        <f>CONCATENATE("Misc. Iron Scrap, Lying at ",C317,". Quantity in MT - ")</f>
        <v>Misc. Iron Scrap, Lying at OL Ropar. Quantity in MT - </v>
      </c>
      <c r="H316" s="256" t="str">
        <f ca="1">CONCATENATE(G316,G317,(INDIRECT(I317)),(INDIRECT(J317)),(INDIRECT(K317)),(INDIRECT(L317)),(INDIRECT(M317)),(INDIRECT(N317)),(INDIRECT(O317)),(INDIRECT(P317)),(INDIRECT(Q317)),(INDIRECT(R317)),".")</f>
        <v>Misc. Iron Scrap, Lying at OL Ropar. Quantity in MT - Transformer body scrap - 1.393, MS iron scrap - 6.946, G.I. Scrap - 0.117, GI wire /GSL scrap - 0.012, MS Rail scrap - 0.186, .</v>
      </c>
      <c r="I316" s="138" t="str">
        <f aca="true" ca="1" t="array" ref="I316">CELL("address",INDEX(G316:G331,MATCH(TRUE,ISBLANK(G316:G331),0)))</f>
        <v>$G$322</v>
      </c>
      <c r="J316" s="138">
        <f aca="true" t="array" ref="J316">MATCH(TRUE,ISBLANK(G316:G331),0)</f>
        <v>7</v>
      </c>
      <c r="K316" s="138">
        <f>J316-3</f>
        <v>4</v>
      </c>
      <c r="L316" s="138"/>
      <c r="M316" s="138"/>
      <c r="N316" s="138"/>
      <c r="O316" s="138"/>
      <c r="P316" s="138"/>
      <c r="Q316" s="138"/>
      <c r="R316" s="138"/>
    </row>
    <row r="317" spans="1:18" ht="15" customHeight="1">
      <c r="A317" s="226" t="s">
        <v>67</v>
      </c>
      <c r="B317" s="226"/>
      <c r="C317" s="227" t="s">
        <v>99</v>
      </c>
      <c r="D317" s="105" t="s">
        <v>61</v>
      </c>
      <c r="E317" s="52">
        <v>1.393</v>
      </c>
      <c r="G317" s="129" t="str">
        <f>CONCATENATE(D317," - ",E317,", ")</f>
        <v>Transformer body scrap - 1.393, </v>
      </c>
      <c r="H317" s="256"/>
      <c r="I317" s="138" t="str">
        <f ca="1">IF(J316&gt;=3,(MID(I316,2,1)&amp;MID(I316,4,3)-K316),CELL("address",Z317))</f>
        <v>G318</v>
      </c>
      <c r="J317" s="138" t="str">
        <f ca="1">IF(J316&gt;=4,(MID(I317,1,1)&amp;MID(I317,2,3)+1),CELL("address",AA317))</f>
        <v>G319</v>
      </c>
      <c r="K317" s="138" t="str">
        <f ca="1">IF(J316&gt;=5,(MID(J317,1,1)&amp;MID(J317,2,3)+1),CELL("address",AB317))</f>
        <v>G320</v>
      </c>
      <c r="L317" s="138" t="str">
        <f ca="1">IF(J316&gt;=6,(MID(K317,1,1)&amp;MID(K317,2,3)+1),CELL("address",AC317))</f>
        <v>G321</v>
      </c>
      <c r="M317" s="138" t="str">
        <f ca="1">IF(J316&gt;=7,(MID(L317,1,1)&amp;MID(L317,2,3)+1),CELL("address",AD317))</f>
        <v>G322</v>
      </c>
      <c r="N317" s="138" t="str">
        <f ca="1">IF(J316&gt;=8,(MID(M317,1,1)&amp;MID(M317,2,3)+1),CELL("address",AE317))</f>
        <v>$AE$317</v>
      </c>
      <c r="O317" s="138" t="str">
        <f ca="1">IF(J316&gt;=9,(MID(N317,1,1)&amp;MID(N317,2,3)+1),CELL("address",AF317))</f>
        <v>$AF$317</v>
      </c>
      <c r="P317" s="138" t="str">
        <f ca="1">IF(J316&gt;=10,(MID(O317,1,1)&amp;MID(O317,2,3)+1),CELL("address",AG317))</f>
        <v>$AG$317</v>
      </c>
      <c r="Q317" s="138" t="str">
        <f ca="1">IF(J316&gt;=11,(MID(P317,1,1)&amp;MID(P317,2,3)+1),CELL("address",AH317))</f>
        <v>$AH$317</v>
      </c>
      <c r="R317" s="138" t="str">
        <f ca="1">IF(J316&gt;=12,(MID(Q317,1,1)&amp;MID(Q317,2,3)+1),CELL("address",AI317))</f>
        <v>$AI$317</v>
      </c>
    </row>
    <row r="318" spans="1:8" ht="15" customHeight="1">
      <c r="A318" s="226"/>
      <c r="B318" s="226"/>
      <c r="C318" s="227"/>
      <c r="D318" s="48" t="s">
        <v>29</v>
      </c>
      <c r="E318" s="71">
        <v>6.946</v>
      </c>
      <c r="G318" s="129" t="str">
        <f>CONCATENATE(D318," - ",E318,", ")</f>
        <v>MS iron scrap - 6.946, </v>
      </c>
      <c r="H318" s="142"/>
    </row>
    <row r="319" spans="1:8" ht="15" customHeight="1">
      <c r="A319" s="226"/>
      <c r="B319" s="226"/>
      <c r="C319" s="227"/>
      <c r="D319" s="105" t="s">
        <v>195</v>
      </c>
      <c r="E319" s="71">
        <v>0.117</v>
      </c>
      <c r="G319" s="129" t="str">
        <f>CONCATENATE(D319," - ",E319,", ")</f>
        <v>G.I. Scrap - 0.117, </v>
      </c>
      <c r="H319" s="142"/>
    </row>
    <row r="320" spans="1:8" ht="15" customHeight="1">
      <c r="A320" s="226"/>
      <c r="B320" s="226"/>
      <c r="C320" s="227"/>
      <c r="D320" s="48" t="s">
        <v>221</v>
      </c>
      <c r="E320" s="71">
        <v>0.012</v>
      </c>
      <c r="G320" s="129" t="str">
        <f>CONCATENATE(D320," - ",E320,", ")</f>
        <v>GI wire /GSL scrap - 0.012, </v>
      </c>
      <c r="H320" s="142"/>
    </row>
    <row r="321" spans="1:8" ht="15" customHeight="1">
      <c r="A321" s="226"/>
      <c r="B321" s="226"/>
      <c r="C321" s="227"/>
      <c r="D321" s="46" t="s">
        <v>62</v>
      </c>
      <c r="E321" s="71">
        <v>0.186</v>
      </c>
      <c r="G321" s="129" t="str">
        <f>CONCATENATE(D321," - ",E321,", ")</f>
        <v>MS Rail scrap - 0.186, </v>
      </c>
      <c r="H321" s="142"/>
    </row>
    <row r="322" spans="1:8" ht="15" customHeight="1">
      <c r="A322" s="97"/>
      <c r="B322" s="98"/>
      <c r="C322" s="99"/>
      <c r="D322" s="44"/>
      <c r="E322" s="73"/>
      <c r="G322" s="129"/>
      <c r="H322" s="142"/>
    </row>
    <row r="323" spans="1:8" ht="15" customHeight="1">
      <c r="A323" s="228"/>
      <c r="B323" s="229"/>
      <c r="C323" s="46"/>
      <c r="D323" s="64"/>
      <c r="E323" s="70">
        <f>SUM(E325:E326)</f>
        <v>1.78</v>
      </c>
      <c r="G323" s="129"/>
      <c r="H323" s="142"/>
    </row>
    <row r="324" spans="1:18" ht="15" customHeight="1">
      <c r="A324" s="226" t="s">
        <v>5</v>
      </c>
      <c r="B324" s="226"/>
      <c r="C324" s="46" t="s">
        <v>17</v>
      </c>
      <c r="D324" s="179" t="s">
        <v>18</v>
      </c>
      <c r="E324" s="45" t="s">
        <v>7</v>
      </c>
      <c r="G324" s="131" t="str">
        <f>CONCATENATE("Misc. Iron Scrap, Lying at ",C325,". Quantity in MT - ")</f>
        <v>Misc. Iron Scrap, Lying at OL Fazilka. Quantity in MT - </v>
      </c>
      <c r="H324" s="256" t="str">
        <f ca="1">CONCATENATE(G324,G325,(INDIRECT(I325)),(INDIRECT(J325)),(INDIRECT(K325)),(INDIRECT(L325)),(INDIRECT(M325)),(INDIRECT(N325)),(INDIRECT(O325)),(INDIRECT(P325)),(INDIRECT(Q325)),(INDIRECT(R325)),".")</f>
        <v>Misc. Iron Scrap, Lying at OL Fazilka. Quantity in MT - MS iron scrap - 1.61, Teen Patra scrap - 0.17, .</v>
      </c>
      <c r="I324" s="138" t="str">
        <f aca="true" ca="1" t="array" ref="I324">CELL("address",INDEX(G324:G332,MATCH(TRUE,ISBLANK(G324:G332),0)))</f>
        <v>$G$327</v>
      </c>
      <c r="J324" s="138">
        <f aca="true" t="array" ref="J324">MATCH(TRUE,ISBLANK(G324:G332),0)</f>
        <v>4</v>
      </c>
      <c r="K324" s="138">
        <f>J324-3</f>
        <v>1</v>
      </c>
      <c r="L324" s="138"/>
      <c r="M324" s="138"/>
      <c r="N324" s="138"/>
      <c r="O324" s="138"/>
      <c r="P324" s="138"/>
      <c r="Q324" s="138"/>
      <c r="R324" s="138"/>
    </row>
    <row r="325" spans="1:18" ht="15" customHeight="1">
      <c r="A325" s="239" t="s">
        <v>68</v>
      </c>
      <c r="B325" s="240"/>
      <c r="C325" s="245" t="s">
        <v>114</v>
      </c>
      <c r="D325" s="48" t="s">
        <v>29</v>
      </c>
      <c r="E325" s="71">
        <v>1.61</v>
      </c>
      <c r="G325" s="129" t="str">
        <f>CONCATENATE(D325," - ",E325,", ")</f>
        <v>MS iron scrap - 1.61, </v>
      </c>
      <c r="H325" s="256"/>
      <c r="I325" s="138" t="str">
        <f ca="1">IF(J324&gt;=3,(MID(I324,2,1)&amp;MID(I324,4,3)-K324),CELL("address",Z325))</f>
        <v>G326</v>
      </c>
      <c r="J325" s="138" t="str">
        <f ca="1">IF(J324&gt;=4,(MID(I325,1,1)&amp;MID(I325,2,3)+1),CELL("address",AA325))</f>
        <v>G327</v>
      </c>
      <c r="K325" s="138" t="str">
        <f ca="1">IF(J324&gt;=5,(MID(J325,1,1)&amp;MID(J325,2,3)+1),CELL("address",AB325))</f>
        <v>$AB$325</v>
      </c>
      <c r="L325" s="138" t="str">
        <f ca="1">IF(J324&gt;=6,(MID(K325,1,1)&amp;MID(K325,2,3)+1),CELL("address",AC325))</f>
        <v>$AC$325</v>
      </c>
      <c r="M325" s="138" t="str">
        <f ca="1">IF(J324&gt;=7,(MID(L325,1,1)&amp;MID(L325,2,3)+1),CELL("address",AD325))</f>
        <v>$AD$325</v>
      </c>
      <c r="N325" s="138" t="str">
        <f ca="1">IF(J324&gt;=8,(MID(M325,1,1)&amp;MID(M325,2,3)+1),CELL("address",AE325))</f>
        <v>$AE$325</v>
      </c>
      <c r="O325" s="138" t="str">
        <f ca="1">IF(J324&gt;=9,(MID(N325,1,1)&amp;MID(N325,2,3)+1),CELL("address",AF325))</f>
        <v>$AF$325</v>
      </c>
      <c r="P325" s="138" t="str">
        <f ca="1">IF(J324&gt;=10,(MID(O325,1,1)&amp;MID(O325,2,3)+1),CELL("address",AG325))</f>
        <v>$AG$325</v>
      </c>
      <c r="Q325" s="138" t="str">
        <f ca="1">IF(J324&gt;=11,(MID(P325,1,1)&amp;MID(P325,2,3)+1),CELL("address",AH325))</f>
        <v>$AH$325</v>
      </c>
      <c r="R325" s="138" t="str">
        <f ca="1">IF(J324&gt;=12,(MID(Q325,1,1)&amp;MID(Q325,2,3)+1),CELL("address",AI325))</f>
        <v>$AI$325</v>
      </c>
    </row>
    <row r="326" spans="1:24" ht="15" customHeight="1">
      <c r="A326" s="241"/>
      <c r="B326" s="242"/>
      <c r="C326" s="246"/>
      <c r="D326" s="105" t="s">
        <v>65</v>
      </c>
      <c r="E326" s="71">
        <v>0.17</v>
      </c>
      <c r="G326" s="129" t="str">
        <f>CONCATENATE(D326," - ",E326,", ")</f>
        <v>Teen Patra scrap - 0.17, </v>
      </c>
      <c r="H326" s="149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T326" s="310"/>
      <c r="U326" s="310"/>
      <c r="V326" s="310"/>
      <c r="W326" s="310"/>
      <c r="X326" s="310"/>
    </row>
    <row r="327" spans="1:24" ht="15" customHeight="1">
      <c r="A327" s="233"/>
      <c r="B327" s="235"/>
      <c r="C327" s="179"/>
      <c r="D327" s="46"/>
      <c r="E327" s="71"/>
      <c r="G327" s="129"/>
      <c r="H327" s="143"/>
      <c r="T327" s="311"/>
      <c r="U327" s="311"/>
      <c r="V327" s="311"/>
      <c r="W327" s="311"/>
      <c r="X327" s="311"/>
    </row>
    <row r="328" spans="1:8" ht="15" customHeight="1">
      <c r="A328" s="228"/>
      <c r="B328" s="229"/>
      <c r="C328" s="46"/>
      <c r="D328" s="64"/>
      <c r="E328" s="63">
        <f>SUM(E330:E330)</f>
        <v>100</v>
      </c>
      <c r="G328" s="129"/>
      <c r="H328" s="142"/>
    </row>
    <row r="329" spans="1:18" ht="15" customHeight="1">
      <c r="A329" s="226" t="s">
        <v>5</v>
      </c>
      <c r="B329" s="226"/>
      <c r="C329" s="46" t="s">
        <v>17</v>
      </c>
      <c r="D329" s="179" t="s">
        <v>18</v>
      </c>
      <c r="E329" s="46" t="s">
        <v>7</v>
      </c>
      <c r="G329" s="131" t="str">
        <f>CONCATENATE("Misc. Iron Scrap, Lying at ",C330,". Quantity in MT - ")</f>
        <v>Misc. Iron Scrap, Lying at S &amp; T Store Bathinda. Quantity in MT - </v>
      </c>
      <c r="H329" s="256" t="str">
        <f ca="1">CONCATENATE(G329,G330,(INDIRECT(I330)),(INDIRECT(J330)),(INDIRECT(K330)),(INDIRECT(L330)),(INDIRECT(M330)),(INDIRECT(N330)),(INDIRECT(O330)),(INDIRECT(P330)),(INDIRECT(Q330)),(INDIRECT(R330)),".")</f>
        <v>Misc. Iron Scrap, Lying at S &amp; T Store Bathinda. Quantity in MT - MS Rail scrap - 100, .</v>
      </c>
      <c r="I329" s="138" t="str">
        <f aca="true" ca="1" t="array" ref="I329">CELL("address",INDEX(G329:G336,MATCH(TRUE,ISBLANK(G329:G336),0)))</f>
        <v>$G$331</v>
      </c>
      <c r="J329" s="138">
        <f aca="true" t="array" ref="J329">MATCH(TRUE,ISBLANK(G329:G336),0)</f>
        <v>3</v>
      </c>
      <c r="K329" s="138">
        <f>J329-3</f>
        <v>0</v>
      </c>
      <c r="L329" s="138"/>
      <c r="M329" s="138"/>
      <c r="N329" s="138"/>
      <c r="O329" s="138"/>
      <c r="P329" s="138"/>
      <c r="Q329" s="138"/>
      <c r="R329" s="138"/>
    </row>
    <row r="330" spans="1:18" ht="15" customHeight="1">
      <c r="A330" s="226" t="s">
        <v>69</v>
      </c>
      <c r="B330" s="226"/>
      <c r="C330" s="179" t="s">
        <v>58</v>
      </c>
      <c r="D330" s="46" t="s">
        <v>62</v>
      </c>
      <c r="E330" s="52">
        <v>100</v>
      </c>
      <c r="G330" s="129" t="str">
        <f>CONCATENATE(D330," - ",E330,", ")</f>
        <v>MS Rail scrap - 100, </v>
      </c>
      <c r="H330" s="256"/>
      <c r="I330" s="138" t="str">
        <f ca="1">IF(J329&gt;=3,(MID(I329,2,1)&amp;MID(I329,4,3)-K329),CELL("address",Z330))</f>
        <v>G331</v>
      </c>
      <c r="J330" s="138" t="str">
        <f ca="1">IF(J329&gt;=4,(MID(I330,1,1)&amp;MID(I330,2,3)+1),CELL("address",AA330))</f>
        <v>$AA$330</v>
      </c>
      <c r="K330" s="138" t="str">
        <f ca="1">IF(J329&gt;=5,(MID(J330,1,1)&amp;MID(J330,2,3)+1),CELL("address",AB330))</f>
        <v>$AB$330</v>
      </c>
      <c r="L330" s="138" t="str">
        <f ca="1">IF(J329&gt;=6,(MID(K330,1,1)&amp;MID(K330,2,3)+1),CELL("address",AC330))</f>
        <v>$AC$330</v>
      </c>
      <c r="M330" s="138" t="str">
        <f ca="1">IF(J329&gt;=7,(MID(L330,1,1)&amp;MID(L330,2,3)+1),CELL("address",AD330))</f>
        <v>$AD$330</v>
      </c>
      <c r="N330" s="138" t="str">
        <f ca="1">IF(J329&gt;=8,(MID(M330,1,1)&amp;MID(M330,2,3)+1),CELL("address",AE330))</f>
        <v>$AE$330</v>
      </c>
      <c r="O330" s="138" t="str">
        <f ca="1">IF(J329&gt;=9,(MID(N330,1,1)&amp;MID(N330,2,3)+1),CELL("address",AF330))</f>
        <v>$AF$330</v>
      </c>
      <c r="P330" s="138" t="str">
        <f ca="1">IF(J329&gt;=10,(MID(O330,1,1)&amp;MID(O330,2,3)+1),CELL("address",AG330))</f>
        <v>$AG$330</v>
      </c>
      <c r="Q330" s="138" t="str">
        <f ca="1">IF(J329&gt;=11,(MID(P330,1,1)&amp;MID(P330,2,3)+1),CELL("address",AH330))</f>
        <v>$AH$330</v>
      </c>
      <c r="R330" s="138" t="str">
        <f ca="1">IF(J329&gt;=12,(MID(Q330,1,1)&amp;MID(Q330,2,3)+1),CELL("address",AI330))</f>
        <v>$AI$330</v>
      </c>
    </row>
    <row r="331" spans="1:8" ht="15" customHeight="1">
      <c r="A331" s="45"/>
      <c r="B331" s="47"/>
      <c r="C331" s="54"/>
      <c r="D331" s="47"/>
      <c r="E331" s="71"/>
      <c r="G331" s="129"/>
      <c r="H331" s="143"/>
    </row>
    <row r="332" spans="1:8" ht="15" customHeight="1">
      <c r="A332" s="60"/>
      <c r="B332" s="61"/>
      <c r="C332" s="61"/>
      <c r="D332" s="64"/>
      <c r="E332" s="59">
        <f>SUM(E334:E338)</f>
        <v>6.585</v>
      </c>
      <c r="G332" s="129"/>
      <c r="H332" s="142"/>
    </row>
    <row r="333" spans="1:18" ht="15" customHeight="1">
      <c r="A333" s="226" t="s">
        <v>5</v>
      </c>
      <c r="B333" s="226"/>
      <c r="C333" s="46" t="s">
        <v>17</v>
      </c>
      <c r="D333" s="179" t="s">
        <v>18</v>
      </c>
      <c r="E333" s="46" t="s">
        <v>7</v>
      </c>
      <c r="G333" s="131" t="str">
        <f>CONCATENATE("Misc. Iron Scrap, Lying at ",C334,". Quantity in MT - ")</f>
        <v>Misc. Iron Scrap, Lying at CS Kotkapura. Quantity in MT - </v>
      </c>
      <c r="H333" s="256" t="str">
        <f ca="1">CONCATENATE(G333,G334,(INDIRECT(I334)),(INDIRECT(J334)),(INDIRECT(K334)),(INDIRECT(L334)),(INDIRECT(M334)),(INDIRECT(N334)),(INDIRECT(O334)),(INDIRECT(P334)),(INDIRECT(Q334)),(INDIRECT(R334)),".")</f>
        <v>Misc. Iron Scrap, Lying at CS Kotkapura. Quantity in MT - MS iron scrap - 3.223, Transformer body scrap - 2.479, Teen Patra scrap - 0.825, G.I. Scrap - 0.038, M.S. Nuts &amp; Bolts Scrap - 0.02, .</v>
      </c>
      <c r="I333" s="138" t="str">
        <f aca="true" ca="1" t="array" ref="I333">CELL("address",INDEX(G333:G341,MATCH(TRUE,ISBLANK(G333:G341),0)))</f>
        <v>$G$339</v>
      </c>
      <c r="J333" s="138">
        <f aca="true" t="array" ref="J333">MATCH(TRUE,ISBLANK(G333:G341),0)</f>
        <v>7</v>
      </c>
      <c r="K333" s="138">
        <f>J333-3</f>
        <v>4</v>
      </c>
      <c r="L333" s="138"/>
      <c r="M333" s="138"/>
      <c r="N333" s="138"/>
      <c r="O333" s="138"/>
      <c r="P333" s="138"/>
      <c r="Q333" s="138"/>
      <c r="R333" s="138"/>
    </row>
    <row r="334" spans="1:18" ht="15" customHeight="1">
      <c r="A334" s="226" t="s">
        <v>176</v>
      </c>
      <c r="B334" s="226"/>
      <c r="C334" s="227" t="s">
        <v>43</v>
      </c>
      <c r="D334" s="48" t="s">
        <v>29</v>
      </c>
      <c r="E334" s="69">
        <v>3.223</v>
      </c>
      <c r="G334" s="129" t="str">
        <f>CONCATENATE(D334," - ",E334,", ")</f>
        <v>MS iron scrap - 3.223, </v>
      </c>
      <c r="H334" s="256"/>
      <c r="I334" s="138" t="str">
        <f ca="1">IF(J333&gt;=3,(MID(I333,2,1)&amp;MID(I333,4,3)-K333),CELL("address",Z334))</f>
        <v>G335</v>
      </c>
      <c r="J334" s="138" t="str">
        <f ca="1">IF(J333&gt;=4,(MID(I334,1,1)&amp;MID(I334,2,3)+1),CELL("address",AA334))</f>
        <v>G336</v>
      </c>
      <c r="K334" s="138" t="str">
        <f ca="1">IF(J333&gt;=5,(MID(J334,1,1)&amp;MID(J334,2,3)+1),CELL("address",AB334))</f>
        <v>G337</v>
      </c>
      <c r="L334" s="138" t="str">
        <f ca="1">IF(J333&gt;=6,(MID(K334,1,1)&amp;MID(K334,2,3)+1),CELL("address",AC334))</f>
        <v>G338</v>
      </c>
      <c r="M334" s="138" t="str">
        <f ca="1">IF(J333&gt;=7,(MID(L334,1,1)&amp;MID(L334,2,3)+1),CELL("address",AD334))</f>
        <v>G339</v>
      </c>
      <c r="N334" s="138" t="str">
        <f ca="1">IF(J333&gt;=8,(MID(M334,1,1)&amp;MID(M334,2,3)+1),CELL("address",AE334))</f>
        <v>$AE$334</v>
      </c>
      <c r="O334" s="138" t="str">
        <f ca="1">IF(J333&gt;=9,(MID(N334,1,1)&amp;MID(N334,2,3)+1),CELL("address",AF334))</f>
        <v>$AF$334</v>
      </c>
      <c r="P334" s="138" t="str">
        <f ca="1">IF(J333&gt;=10,(MID(O334,1,1)&amp;MID(O334,2,3)+1),CELL("address",AG334))</f>
        <v>$AG$334</v>
      </c>
      <c r="Q334" s="138" t="str">
        <f ca="1">IF(J333&gt;=11,(MID(P334,1,1)&amp;MID(P334,2,3)+1),CELL("address",AH334))</f>
        <v>$AH$334</v>
      </c>
      <c r="R334" s="138" t="str">
        <f ca="1">IF(J333&gt;=12,(MID(Q334,1,1)&amp;MID(Q334,2,3)+1),CELL("address",AI334))</f>
        <v>$AI$334</v>
      </c>
    </row>
    <row r="335" spans="1:8" ht="15" customHeight="1">
      <c r="A335" s="226"/>
      <c r="B335" s="226"/>
      <c r="C335" s="227"/>
      <c r="D335" s="105" t="s">
        <v>61</v>
      </c>
      <c r="E335" s="69">
        <v>2.479</v>
      </c>
      <c r="G335" s="129" t="str">
        <f>CONCATENATE(D335," - ",E335,", ")</f>
        <v>Transformer body scrap - 2.479, </v>
      </c>
      <c r="H335" s="142"/>
    </row>
    <row r="336" spans="1:8" ht="15" customHeight="1">
      <c r="A336" s="226"/>
      <c r="B336" s="226"/>
      <c r="C336" s="227"/>
      <c r="D336" s="105" t="s">
        <v>65</v>
      </c>
      <c r="E336" s="69">
        <v>0.825</v>
      </c>
      <c r="G336" s="129" t="str">
        <f>CONCATENATE(D336," - ",E336,", ")</f>
        <v>Teen Patra scrap - 0.825, </v>
      </c>
      <c r="H336" s="142"/>
    </row>
    <row r="337" spans="1:8" ht="15" customHeight="1">
      <c r="A337" s="226"/>
      <c r="B337" s="226"/>
      <c r="C337" s="227"/>
      <c r="D337" s="105" t="s">
        <v>195</v>
      </c>
      <c r="E337" s="71">
        <v>0.038</v>
      </c>
      <c r="G337" s="129" t="str">
        <f>CONCATENATE(D337," - ",E337,", ")</f>
        <v>G.I. Scrap - 0.038, </v>
      </c>
      <c r="H337" s="142"/>
    </row>
    <row r="338" spans="1:8" ht="15" customHeight="1">
      <c r="A338" s="226"/>
      <c r="B338" s="226"/>
      <c r="C338" s="227"/>
      <c r="D338" s="105" t="s">
        <v>196</v>
      </c>
      <c r="E338" s="71">
        <v>0.02</v>
      </c>
      <c r="G338" s="129" t="str">
        <f>CONCATENATE(D338," - ",E338,", ")</f>
        <v>M.S. Nuts &amp; Bolts Scrap - 0.02, </v>
      </c>
      <c r="H338" s="142"/>
    </row>
    <row r="339" spans="1:8" ht="15" customHeight="1">
      <c r="A339" s="45"/>
      <c r="B339" s="47"/>
      <c r="C339" s="54"/>
      <c r="D339" s="75"/>
      <c r="E339" s="73"/>
      <c r="G339" s="129"/>
      <c r="H339" s="142"/>
    </row>
    <row r="340" spans="1:8" ht="15" customHeight="1">
      <c r="A340" s="60"/>
      <c r="B340" s="61"/>
      <c r="C340" s="61"/>
      <c r="D340" s="64"/>
      <c r="E340" s="59">
        <f>SUM(E342:E346)</f>
        <v>8.213</v>
      </c>
      <c r="G340" s="129"/>
      <c r="H340" s="142"/>
    </row>
    <row r="341" spans="1:18" ht="15" customHeight="1">
      <c r="A341" s="226" t="s">
        <v>5</v>
      </c>
      <c r="B341" s="226"/>
      <c r="C341" s="46" t="s">
        <v>17</v>
      </c>
      <c r="D341" s="179" t="s">
        <v>18</v>
      </c>
      <c r="E341" s="46" t="s">
        <v>7</v>
      </c>
      <c r="G341" s="131" t="str">
        <f>CONCATENATE("Misc. Iron Scrap, Lying at ",C342,". Quantity in MT - ")</f>
        <v>Misc. Iron Scrap, Lying at CS Mohali. Quantity in MT - </v>
      </c>
      <c r="H341" s="256" t="str">
        <f ca="1">CONCATENATE(G341,G342,(INDIRECT(I342)),(INDIRECT(J342)),(INDIRECT(K342)),(INDIRECT(L342)),(INDIRECT(M342)),(INDIRECT(N342)),(INDIRECT(O342)),(INDIRECT(P342)),(INDIRECT(Q342)),(INDIRECT(R342)),".")</f>
        <v>Misc. Iron Scrap, Lying at CS Mohali. Quantity in MT - MS iron scrap - 6.294, Transformer body scrap - 1.364, G.I. scrap - 0.292, MS Rail scrap - 0.08, Teen Patra scrap - 0.183, .</v>
      </c>
      <c r="I341" s="138" t="str">
        <f aca="true" ca="1" t="array" ref="I341">CELL("address",INDEX(G341:G355,MATCH(TRUE,ISBLANK(G341:G355),0)))</f>
        <v>$G$347</v>
      </c>
      <c r="J341" s="138">
        <f aca="true" t="array" ref="J341">MATCH(TRUE,ISBLANK(G341:G355),0)</f>
        <v>7</v>
      </c>
      <c r="K341" s="138">
        <f>J341-3</f>
        <v>4</v>
      </c>
      <c r="L341" s="138"/>
      <c r="M341" s="138"/>
      <c r="N341" s="138"/>
      <c r="O341" s="138"/>
      <c r="P341" s="138"/>
      <c r="Q341" s="138"/>
      <c r="R341" s="138"/>
    </row>
    <row r="342" spans="1:18" ht="15" customHeight="1">
      <c r="A342" s="226" t="s">
        <v>121</v>
      </c>
      <c r="B342" s="226"/>
      <c r="C342" s="227" t="s">
        <v>63</v>
      </c>
      <c r="D342" s="48" t="s">
        <v>29</v>
      </c>
      <c r="E342" s="52">
        <v>6.294</v>
      </c>
      <c r="G342" s="129" t="str">
        <f>CONCATENATE(D342," - ",E342,", ")</f>
        <v>MS iron scrap - 6.294, </v>
      </c>
      <c r="H342" s="256"/>
      <c r="I342" s="138" t="str">
        <f ca="1">IF(J341&gt;=3,(MID(I341,2,1)&amp;MID(I341,4,3)-K341),CELL("address",Z342))</f>
        <v>G343</v>
      </c>
      <c r="J342" s="138" t="str">
        <f ca="1">IF(J341&gt;=4,(MID(I342,1,1)&amp;MID(I342,2,3)+1),CELL("address",AA342))</f>
        <v>G344</v>
      </c>
      <c r="K342" s="138" t="str">
        <f ca="1">IF(J341&gt;=5,(MID(J342,1,1)&amp;MID(J342,2,3)+1),CELL("address",AB342))</f>
        <v>G345</v>
      </c>
      <c r="L342" s="138" t="str">
        <f ca="1">IF(J341&gt;=6,(MID(K342,1,1)&amp;MID(K342,2,3)+1),CELL("address",AC342))</f>
        <v>G346</v>
      </c>
      <c r="M342" s="138" t="str">
        <f ca="1">IF(J341&gt;=7,(MID(L342,1,1)&amp;MID(L342,2,3)+1),CELL("address",AD342))</f>
        <v>G347</v>
      </c>
      <c r="N342" s="138" t="str">
        <f ca="1">IF(J341&gt;=8,(MID(M342,1,1)&amp;MID(M342,2,3)+1),CELL("address",AE342))</f>
        <v>$AE$342</v>
      </c>
      <c r="O342" s="138" t="str">
        <f ca="1">IF(J341&gt;=9,(MID(N342,1,1)&amp;MID(N342,2,3)+1),CELL("address",AF342))</f>
        <v>$AF$342</v>
      </c>
      <c r="P342" s="138" t="str">
        <f ca="1">IF(J341&gt;=10,(MID(O342,1,1)&amp;MID(O342,2,3)+1),CELL("address",AG342))</f>
        <v>$AG$342</v>
      </c>
      <c r="Q342" s="138" t="str">
        <f ca="1">IF(J341&gt;=11,(MID(P342,1,1)&amp;MID(P342,2,3)+1),CELL("address",AH342))</f>
        <v>$AH$342</v>
      </c>
      <c r="R342" s="138" t="str">
        <f ca="1">IF(J341&gt;=12,(MID(Q342,1,1)&amp;MID(Q342,2,3)+1),CELL("address",AI342))</f>
        <v>$AI$342</v>
      </c>
    </row>
    <row r="343" spans="1:8" ht="15" customHeight="1">
      <c r="A343" s="226"/>
      <c r="B343" s="226"/>
      <c r="C343" s="227"/>
      <c r="D343" s="105" t="s">
        <v>61</v>
      </c>
      <c r="E343" s="52">
        <v>1.364</v>
      </c>
      <c r="G343" s="129" t="str">
        <f>CONCATENATE(D343," - ",E343,", ")</f>
        <v>Transformer body scrap - 1.364, </v>
      </c>
      <c r="H343" s="142"/>
    </row>
    <row r="344" spans="1:8" ht="15" customHeight="1">
      <c r="A344" s="226"/>
      <c r="B344" s="226"/>
      <c r="C344" s="227"/>
      <c r="D344" s="105" t="s">
        <v>190</v>
      </c>
      <c r="E344" s="52">
        <v>0.292</v>
      </c>
      <c r="G344" s="129" t="str">
        <f>CONCATENATE(D344," - ",E344,", ")</f>
        <v>G.I. scrap - 0.292, </v>
      </c>
      <c r="H344" s="142"/>
    </row>
    <row r="345" spans="1:8" ht="15" customHeight="1">
      <c r="A345" s="226"/>
      <c r="B345" s="226"/>
      <c r="C345" s="227"/>
      <c r="D345" s="48" t="s">
        <v>62</v>
      </c>
      <c r="E345" s="71">
        <v>0.08</v>
      </c>
      <c r="G345" s="129" t="str">
        <f>CONCATENATE(D345," - ",E345,", ")</f>
        <v>MS Rail scrap - 0.08, </v>
      </c>
      <c r="H345" s="142"/>
    </row>
    <row r="346" spans="1:8" ht="15" customHeight="1">
      <c r="A346" s="226"/>
      <c r="B346" s="226"/>
      <c r="C346" s="227"/>
      <c r="D346" s="51" t="s">
        <v>65</v>
      </c>
      <c r="E346" s="71">
        <v>0.183</v>
      </c>
      <c r="G346" s="129" t="str">
        <f>CONCATENATE(D346," - ",E346,", ")</f>
        <v>Teen Patra scrap - 0.183, </v>
      </c>
      <c r="H346" s="142"/>
    </row>
    <row r="347" spans="1:8" ht="15" customHeight="1">
      <c r="A347" s="45"/>
      <c r="B347" s="47"/>
      <c r="C347" s="54"/>
      <c r="D347" s="44"/>
      <c r="E347" s="73"/>
      <c r="G347" s="129"/>
      <c r="H347" s="142"/>
    </row>
    <row r="348" spans="1:8" ht="15" customHeight="1">
      <c r="A348" s="60"/>
      <c r="B348" s="61"/>
      <c r="C348" s="61"/>
      <c r="D348" s="64"/>
      <c r="E348" s="59">
        <f>SUM(E350:E354)</f>
        <v>9.57</v>
      </c>
      <c r="G348" s="129"/>
      <c r="H348" s="142"/>
    </row>
    <row r="349" spans="1:18" ht="15" customHeight="1">
      <c r="A349" s="226" t="s">
        <v>5</v>
      </c>
      <c r="B349" s="226"/>
      <c r="C349" s="46" t="s">
        <v>17</v>
      </c>
      <c r="D349" s="179" t="s">
        <v>18</v>
      </c>
      <c r="E349" s="46" t="s">
        <v>7</v>
      </c>
      <c r="G349" s="131" t="str">
        <f>CONCATENATE("Misc. Iron Scrap, Lying at ",C350,". Quantity in MT - ")</f>
        <v>Misc. Iron Scrap, Lying at CS Malout. Quantity in MT - </v>
      </c>
      <c r="H349" s="256" t="str">
        <f ca="1">CONCATENATE(G349,G350,(INDIRECT(I350)),(INDIRECT(J350)),(INDIRECT(K350)),(INDIRECT(L350)),(INDIRECT(M350)),(INDIRECT(N350)),(INDIRECT(O350)),(INDIRECT(P350)),(INDIRECT(Q350)),(INDIRECT(R350)),".")</f>
        <v>Misc. Iron Scrap, Lying at CS Malout. Quantity in MT - MS iron scrap - 9.092, MS Angle/ Channel Scrap - 0.01, G.I. scrap - 0.248, GI wire /GSL scrap - 0.205, MS Nuts &amp; bolts scrap - 0.015, .</v>
      </c>
      <c r="I349" s="138" t="str">
        <f aca="true" ca="1" t="array" ref="I349">CELL("address",INDEX(G349:G355,MATCH(TRUE,ISBLANK(G349:G355),0)))</f>
        <v>$G$355</v>
      </c>
      <c r="J349" s="138">
        <f aca="true" t="array" ref="J349">MATCH(TRUE,ISBLANK(G349:G355),0)</f>
        <v>7</v>
      </c>
      <c r="K349" s="138">
        <f>J349-3</f>
        <v>4</v>
      </c>
      <c r="L349" s="138"/>
      <c r="M349" s="138"/>
      <c r="N349" s="138"/>
      <c r="O349" s="138"/>
      <c r="P349" s="138"/>
      <c r="Q349" s="138"/>
      <c r="R349" s="138"/>
    </row>
    <row r="350" spans="1:18" ht="15" customHeight="1">
      <c r="A350" s="226" t="s">
        <v>197</v>
      </c>
      <c r="B350" s="226"/>
      <c r="C350" s="227" t="s">
        <v>96</v>
      </c>
      <c r="D350" s="46" t="s">
        <v>29</v>
      </c>
      <c r="E350" s="69">
        <v>9.092</v>
      </c>
      <c r="G350" s="129" t="str">
        <f>CONCATENATE(D350," - ",E350,", ")</f>
        <v>MS iron scrap - 9.092, </v>
      </c>
      <c r="H350" s="256"/>
      <c r="I350" s="138" t="str">
        <f ca="1">IF(J349&gt;=3,(MID(I349,2,1)&amp;MID(I349,4,3)-K349),CELL("address",Z350))</f>
        <v>G351</v>
      </c>
      <c r="J350" s="138" t="str">
        <f ca="1">IF(J349&gt;=4,(MID(I350,1,1)&amp;MID(I350,2,3)+1),CELL("address",AA350))</f>
        <v>G352</v>
      </c>
      <c r="K350" s="138" t="str">
        <f ca="1">IF(J349&gt;=5,(MID(J350,1,1)&amp;MID(J350,2,3)+1),CELL("address",AB350))</f>
        <v>G353</v>
      </c>
      <c r="L350" s="138" t="str">
        <f ca="1">IF(J349&gt;=6,(MID(K350,1,1)&amp;MID(K350,2,3)+1),CELL("address",AC350))</f>
        <v>G354</v>
      </c>
      <c r="M350" s="138" t="str">
        <f ca="1">IF(J349&gt;=7,(MID(L350,1,1)&amp;MID(L350,2,3)+1),CELL("address",AD350))</f>
        <v>G355</v>
      </c>
      <c r="N350" s="138" t="str">
        <f ca="1">IF(J349&gt;=8,(MID(M350,1,1)&amp;MID(M350,2,3)+1),CELL("address",AE350))</f>
        <v>$AE$350</v>
      </c>
      <c r="O350" s="138" t="str">
        <f ca="1">IF(J349&gt;=9,(MID(N350,1,1)&amp;MID(N350,2,3)+1),CELL("address",AF350))</f>
        <v>$AF$350</v>
      </c>
      <c r="P350" s="138" t="str">
        <f ca="1">IF(J349&gt;=10,(MID(O350,1,1)&amp;MID(O350,2,3)+1),CELL("address",AG350))</f>
        <v>$AG$350</v>
      </c>
      <c r="Q350" s="138" t="str">
        <f ca="1">IF(J349&gt;=11,(MID(P350,1,1)&amp;MID(P350,2,3)+1),CELL("address",AH350))</f>
        <v>$AH$350</v>
      </c>
      <c r="R350" s="138" t="str">
        <f ca="1">IF(J349&gt;=12,(MID(Q350,1,1)&amp;MID(Q350,2,3)+1),CELL("address",AI350))</f>
        <v>$AI$350</v>
      </c>
    </row>
    <row r="351" spans="1:8" ht="15" customHeight="1">
      <c r="A351" s="226"/>
      <c r="B351" s="226"/>
      <c r="C351" s="227"/>
      <c r="D351" s="74" t="s">
        <v>206</v>
      </c>
      <c r="E351" s="69">
        <v>0.01</v>
      </c>
      <c r="G351" s="129" t="str">
        <f>CONCATENATE(D351," - ",E351,", ")</f>
        <v>MS Angle/ Channel Scrap - 0.01, </v>
      </c>
      <c r="H351" s="142"/>
    </row>
    <row r="352" spans="1:8" ht="15" customHeight="1">
      <c r="A352" s="226"/>
      <c r="B352" s="226"/>
      <c r="C352" s="227"/>
      <c r="D352" s="74" t="s">
        <v>190</v>
      </c>
      <c r="E352" s="71">
        <v>0.248</v>
      </c>
      <c r="G352" s="129" t="str">
        <f>CONCATENATE(D352," - ",E352,", ")</f>
        <v>G.I. scrap - 0.248, </v>
      </c>
      <c r="H352" s="142"/>
    </row>
    <row r="353" spans="1:23" ht="15" customHeight="1">
      <c r="A353" s="226"/>
      <c r="B353" s="226"/>
      <c r="C353" s="227"/>
      <c r="D353" s="46" t="s">
        <v>221</v>
      </c>
      <c r="E353" s="71">
        <v>0.205</v>
      </c>
      <c r="G353" s="129" t="str">
        <f>CONCATENATE(D353," - ",E353,", ")</f>
        <v>GI wire /GSL scrap - 0.205, </v>
      </c>
      <c r="H353" s="142"/>
      <c r="S353" s="309"/>
      <c r="T353" s="309"/>
      <c r="U353" s="309"/>
      <c r="V353" s="309"/>
      <c r="W353" s="309"/>
    </row>
    <row r="354" spans="1:8" ht="15" customHeight="1">
      <c r="A354" s="226"/>
      <c r="B354" s="226"/>
      <c r="C354" s="227"/>
      <c r="D354" s="194" t="s">
        <v>331</v>
      </c>
      <c r="E354" s="71">
        <v>0.015</v>
      </c>
      <c r="G354" s="129" t="str">
        <f>CONCATENATE(D354," - ",E354,", ")</f>
        <v>MS Nuts &amp; bolts scrap - 0.015, </v>
      </c>
      <c r="H354" s="142"/>
    </row>
    <row r="355" spans="1:8" ht="15" customHeight="1">
      <c r="A355" s="45"/>
      <c r="B355" s="47"/>
      <c r="C355" s="54"/>
      <c r="D355" s="111"/>
      <c r="E355" s="73"/>
      <c r="G355" s="129"/>
      <c r="H355" s="142"/>
    </row>
    <row r="356" spans="1:8" ht="15" customHeight="1">
      <c r="A356" s="60"/>
      <c r="B356" s="61"/>
      <c r="C356" s="61"/>
      <c r="D356" s="64"/>
      <c r="E356" s="59">
        <f>SUM(E358:E359)</f>
        <v>15.134999999999998</v>
      </c>
      <c r="G356" s="129"/>
      <c r="H356" s="142"/>
    </row>
    <row r="357" spans="1:18" ht="15" customHeight="1">
      <c r="A357" s="248" t="s">
        <v>5</v>
      </c>
      <c r="B357" s="248"/>
      <c r="C357" s="27" t="s">
        <v>17</v>
      </c>
      <c r="D357" s="90" t="s">
        <v>18</v>
      </c>
      <c r="E357" s="27" t="s">
        <v>7</v>
      </c>
      <c r="G357" s="131" t="str">
        <f>CONCATENATE("Misc. Iron Scrap, Lying at ",C358,". Quantity in MT - ")</f>
        <v>Misc. Iron Scrap, Lying at OL Moga. Quantity in MT - </v>
      </c>
      <c r="H357" s="256" t="str">
        <f ca="1">CONCATENATE(G357,G358,(INDIRECT(I358)),(INDIRECT(J358)),(INDIRECT(K358)),(INDIRECT(L358)),(INDIRECT(M358)),(INDIRECT(N358)),(INDIRECT(O358)),(INDIRECT(P358)),(INDIRECT(Q358)),(INDIRECT(R358)),".")</f>
        <v>Misc. Iron Scrap, Lying at OL Moga. Quantity in MT - MS iron scrap - 8.79, Transformer body scrap - 6.345, .</v>
      </c>
      <c r="I357" s="138" t="str">
        <f aca="true" ca="1" t="array" ref="I357">CELL("address",INDEX(G357:G383,MATCH(TRUE,ISBLANK(G357:G383),0)))</f>
        <v>$G$360</v>
      </c>
      <c r="J357" s="138">
        <f aca="true" t="array" ref="J357">MATCH(TRUE,ISBLANK(G357:G383),0)</f>
        <v>4</v>
      </c>
      <c r="K357" s="138">
        <f>J357-3</f>
        <v>1</v>
      </c>
      <c r="L357" s="138"/>
      <c r="M357" s="138"/>
      <c r="N357" s="138"/>
      <c r="O357" s="138"/>
      <c r="P357" s="138"/>
      <c r="Q357" s="138"/>
      <c r="R357" s="138"/>
    </row>
    <row r="358" spans="1:18" ht="15" customHeight="1">
      <c r="A358" s="226" t="s">
        <v>205</v>
      </c>
      <c r="B358" s="226"/>
      <c r="C358" s="227" t="s">
        <v>274</v>
      </c>
      <c r="D358" s="48" t="s">
        <v>29</v>
      </c>
      <c r="E358" s="52">
        <v>8.79</v>
      </c>
      <c r="G358" s="129" t="str">
        <f>CONCATENATE(D358," - ",E358,", ")</f>
        <v>MS iron scrap - 8.79, </v>
      </c>
      <c r="H358" s="256"/>
      <c r="I358" s="138" t="str">
        <f ca="1">IF(J357&gt;=3,(MID(I357,2,1)&amp;MID(I357,4,3)-K357),CELL("address",Z358))</f>
        <v>G359</v>
      </c>
      <c r="J358" s="138" t="str">
        <f ca="1">IF(J357&gt;=4,(MID(I358,1,1)&amp;MID(I358,2,3)+1),CELL("address",AA358))</f>
        <v>G360</v>
      </c>
      <c r="K358" s="138" t="str">
        <f ca="1">IF(J357&gt;=5,(MID(J358,1,1)&amp;MID(J358,2,3)+1),CELL("address",AB358))</f>
        <v>$AB$358</v>
      </c>
      <c r="L358" s="138" t="str">
        <f ca="1">IF(J357&gt;=6,(MID(K358,1,1)&amp;MID(K358,2,3)+1),CELL("address",AC358))</f>
        <v>$AC$358</v>
      </c>
      <c r="M358" s="138" t="str">
        <f ca="1">IF(J357&gt;=7,(MID(L358,1,1)&amp;MID(L358,2,3)+1),CELL("address",AD358))</f>
        <v>$AD$358</v>
      </c>
      <c r="N358" s="138" t="str">
        <f ca="1">IF(J357&gt;=8,(MID(M358,1,1)&amp;MID(M358,2,3)+1),CELL("address",AE358))</f>
        <v>$AE$358</v>
      </c>
      <c r="O358" s="138" t="str">
        <f ca="1">IF(J357&gt;=9,(MID(N358,1,1)&amp;MID(N358,2,3)+1),CELL("address",AF358))</f>
        <v>$AF$358</v>
      </c>
      <c r="P358" s="138" t="str">
        <f ca="1">IF(J357&gt;=10,(MID(O358,1,1)&amp;MID(O358,2,3)+1),CELL("address",AG358))</f>
        <v>$AG$358</v>
      </c>
      <c r="Q358" s="138" t="str">
        <f ca="1">IF(J357&gt;=11,(MID(P358,1,1)&amp;MID(P358,2,3)+1),CELL("address",AH358))</f>
        <v>$AH$358</v>
      </c>
      <c r="R358" s="138" t="str">
        <f ca="1">IF(J357&gt;=12,(MID(Q358,1,1)&amp;MID(Q358,2,3)+1),CELL("address",AI358))</f>
        <v>$AI$358</v>
      </c>
    </row>
    <row r="359" spans="1:8" ht="15" customHeight="1">
      <c r="A359" s="226"/>
      <c r="B359" s="226"/>
      <c r="C359" s="227"/>
      <c r="D359" s="105" t="s">
        <v>61</v>
      </c>
      <c r="E359" s="52">
        <v>6.345</v>
      </c>
      <c r="G359" s="129" t="str">
        <f>CONCATENATE(D359," - ",E359,", ")</f>
        <v>Transformer body scrap - 6.345, </v>
      </c>
      <c r="H359" s="142"/>
    </row>
    <row r="360" spans="1:8" ht="15" customHeight="1">
      <c r="A360" s="45"/>
      <c r="B360" s="47"/>
      <c r="C360" s="54"/>
      <c r="D360" s="126"/>
      <c r="E360" s="71"/>
      <c r="G360" s="129"/>
      <c r="H360" s="142"/>
    </row>
    <row r="361" spans="1:8" ht="15" customHeight="1">
      <c r="A361" s="60"/>
      <c r="B361" s="61"/>
      <c r="C361" s="61"/>
      <c r="D361" s="62"/>
      <c r="E361" s="63">
        <f>SUM(E363:E364)</f>
        <v>1.368</v>
      </c>
      <c r="G361" s="129"/>
      <c r="H361" s="142"/>
    </row>
    <row r="362" spans="1:18" ht="15" customHeight="1">
      <c r="A362" s="226" t="s">
        <v>5</v>
      </c>
      <c r="B362" s="226"/>
      <c r="C362" s="46" t="s">
        <v>17</v>
      </c>
      <c r="D362" s="179" t="s">
        <v>18</v>
      </c>
      <c r="E362" s="46" t="s">
        <v>7</v>
      </c>
      <c r="G362" s="131" t="str">
        <f>CONCATENATE("Misc. Iron Scrap, Lying at ",C363,". Quantity in MT - ")</f>
        <v>Misc. Iron Scrap, Lying at CS Bathinda. Quantity in MT - </v>
      </c>
      <c r="H362" s="256" t="str">
        <f ca="1">CONCATENATE(G362,G363,(INDIRECT(I363)),(INDIRECT(J363)),(INDIRECT(K363)),(INDIRECT(L363)),(INDIRECT(M363)),(INDIRECT(N363)),(INDIRECT(O363)),(INDIRECT(P363)),(INDIRECT(Q363)),(INDIRECT(R363)),".")</f>
        <v>Misc. Iron Scrap, Lying at CS Bathinda. Quantity in MT - MS iron scrap - 1.31, G.I. Scrap - 0.058, .</v>
      </c>
      <c r="I362" s="138" t="str">
        <f aca="true" ca="1" t="array" ref="I362">CELL("address",INDEX(G362:G388,MATCH(TRUE,ISBLANK(G362:G388),0)))</f>
        <v>$G$365</v>
      </c>
      <c r="J362" s="138">
        <f aca="true" t="array" ref="J362">MATCH(TRUE,ISBLANK(G362:G388),0)</f>
        <v>4</v>
      </c>
      <c r="K362" s="138">
        <f>J362-3</f>
        <v>1</v>
      </c>
      <c r="L362" s="138"/>
      <c r="M362" s="138"/>
      <c r="N362" s="138"/>
      <c r="O362" s="138"/>
      <c r="P362" s="138"/>
      <c r="Q362" s="138"/>
      <c r="R362" s="138"/>
    </row>
    <row r="363" spans="1:18" ht="15" customHeight="1">
      <c r="A363" s="226" t="s">
        <v>344</v>
      </c>
      <c r="B363" s="226"/>
      <c r="C363" s="227" t="s">
        <v>64</v>
      </c>
      <c r="D363" s="48" t="s">
        <v>29</v>
      </c>
      <c r="E363" s="52">
        <v>1.31</v>
      </c>
      <c r="G363" s="129" t="str">
        <f>CONCATENATE(D363," - ",E363,", ")</f>
        <v>MS iron scrap - 1.31, </v>
      </c>
      <c r="H363" s="256"/>
      <c r="I363" s="138" t="str">
        <f ca="1">IF(J362&gt;=3,(MID(I362,2,1)&amp;MID(I362,4,3)-K362),CELL("address",Z363))</f>
        <v>G364</v>
      </c>
      <c r="J363" s="138" t="str">
        <f ca="1">IF(J362&gt;=4,(MID(I363,1,1)&amp;MID(I363,2,3)+1),CELL("address",AA363))</f>
        <v>G365</v>
      </c>
      <c r="K363" s="138" t="str">
        <f ca="1">IF(J362&gt;=5,(MID(J363,1,1)&amp;MID(J363,2,3)+1),CELL("address",AB363))</f>
        <v>$AB$363</v>
      </c>
      <c r="L363" s="138" t="str">
        <f ca="1">IF(J362&gt;=6,(MID(K363,1,1)&amp;MID(K363,2,3)+1),CELL("address",AC363))</f>
        <v>$AC$363</v>
      </c>
      <c r="M363" s="138" t="str">
        <f ca="1">IF(J362&gt;=7,(MID(L363,1,1)&amp;MID(L363,2,3)+1),CELL("address",AD363))</f>
        <v>$AD$363</v>
      </c>
      <c r="N363" s="138" t="str">
        <f ca="1">IF(J362&gt;=8,(MID(M363,1,1)&amp;MID(M363,2,3)+1),CELL("address",AE363))</f>
        <v>$AE$363</v>
      </c>
      <c r="O363" s="138" t="str">
        <f ca="1">IF(J362&gt;=9,(MID(N363,1,1)&amp;MID(N363,2,3)+1),CELL("address",AF363))</f>
        <v>$AF$363</v>
      </c>
      <c r="P363" s="138" t="str">
        <f ca="1">IF(J362&gt;=10,(MID(O363,1,1)&amp;MID(O363,2,3)+1),CELL("address",AG363))</f>
        <v>$AG$363</v>
      </c>
      <c r="Q363" s="138" t="str">
        <f ca="1">IF(J362&gt;=11,(MID(P363,1,1)&amp;MID(P363,2,3)+1),CELL("address",AH363))</f>
        <v>$AH$363</v>
      </c>
      <c r="R363" s="138" t="str">
        <f ca="1">IF(J362&gt;=12,(MID(Q363,1,1)&amp;MID(Q363,2,3)+1),CELL("address",AI363))</f>
        <v>$AI$363</v>
      </c>
    </row>
    <row r="364" spans="1:8" ht="15" customHeight="1">
      <c r="A364" s="226"/>
      <c r="B364" s="226"/>
      <c r="C364" s="227"/>
      <c r="D364" s="105" t="s">
        <v>195</v>
      </c>
      <c r="E364" s="71">
        <v>0.058</v>
      </c>
      <c r="G364" s="129" t="str">
        <f>CONCATENATE(D364," - ",E364,", ")</f>
        <v>G.I. Scrap - 0.058, </v>
      </c>
      <c r="H364" s="142"/>
    </row>
    <row r="365" spans="1:8" ht="15" customHeight="1">
      <c r="A365" s="45"/>
      <c r="B365" s="47"/>
      <c r="C365" s="54"/>
      <c r="D365" s="126"/>
      <c r="E365" s="71"/>
      <c r="G365" s="129"/>
      <c r="H365" s="142"/>
    </row>
    <row r="366" spans="1:8" ht="18.75" customHeight="1">
      <c r="A366" s="295" t="s">
        <v>316</v>
      </c>
      <c r="B366" s="296"/>
      <c r="C366" s="296"/>
      <c r="D366" s="296"/>
      <c r="E366" s="297"/>
      <c r="H366" s="140"/>
    </row>
    <row r="367" spans="1:8" ht="15" customHeight="1">
      <c r="A367" s="249" t="s">
        <v>5</v>
      </c>
      <c r="B367" s="250"/>
      <c r="C367" s="249" t="s">
        <v>6</v>
      </c>
      <c r="D367" s="250"/>
      <c r="E367" s="179" t="s">
        <v>7</v>
      </c>
      <c r="G367" s="132"/>
      <c r="H367" s="145"/>
    </row>
    <row r="368" spans="1:8" ht="15" customHeight="1">
      <c r="A368" s="226" t="s">
        <v>126</v>
      </c>
      <c r="B368" s="226"/>
      <c r="C368" s="264" t="s">
        <v>114</v>
      </c>
      <c r="D368" s="264"/>
      <c r="E368" s="91">
        <v>1.293</v>
      </c>
      <c r="G368" s="133"/>
      <c r="H368" s="131" t="str">
        <f>CONCATENATE("Wooden scrap (without iron parts), Lying at ",C368,". Quantity in MT - ",E368,)</f>
        <v>Wooden scrap (without iron parts), Lying at OL Fazilka. Quantity in MT - 1.293</v>
      </c>
    </row>
    <row r="369" spans="1:8" ht="15" customHeight="1">
      <c r="A369" s="226" t="s">
        <v>129</v>
      </c>
      <c r="B369" s="226"/>
      <c r="C369" s="226" t="s">
        <v>96</v>
      </c>
      <c r="D369" s="226"/>
      <c r="E369" s="91">
        <v>0.159</v>
      </c>
      <c r="H369" s="131" t="str">
        <f>CONCATENATE("Wooden scrap (without iron parts), Lying at ",C369,". Quantity in MT - ",E369,)</f>
        <v>Wooden scrap (without iron parts), Lying at CS Malout. Quantity in MT - 0.159</v>
      </c>
    </row>
    <row r="370" spans="1:8" ht="15" customHeight="1">
      <c r="A370" s="226" t="s">
        <v>130</v>
      </c>
      <c r="B370" s="226"/>
      <c r="C370" s="264" t="s">
        <v>156</v>
      </c>
      <c r="D370" s="264"/>
      <c r="E370" s="91">
        <v>0.46</v>
      </c>
      <c r="H370" s="131" t="str">
        <f>CONCATENATE("Wooden scrap (without iron parts), Lying at ",C370,". Quantity in MT - ",E370,)</f>
        <v>Wooden scrap (without iron parts), Lying at OL Shri Muktsar sahib. Quantity in MT - 0.46</v>
      </c>
    </row>
    <row r="371" spans="1:8" ht="15" customHeight="1">
      <c r="A371" s="226" t="s">
        <v>131</v>
      </c>
      <c r="B371" s="226"/>
      <c r="C371" s="264" t="s">
        <v>103</v>
      </c>
      <c r="D371" s="264"/>
      <c r="E371" s="52">
        <v>0.41</v>
      </c>
      <c r="H371" s="131" t="str">
        <f>CONCATENATE("Wooden scrap (without iron parts), Lying at ",C371,". Quantity in MT - ",E371,)</f>
        <v>Wooden scrap (without iron parts), Lying at OL Patran. Quantity in MT - 0.41</v>
      </c>
    </row>
    <row r="372" spans="1:8" ht="15" customHeight="1" thickBot="1">
      <c r="A372" s="226" t="s">
        <v>132</v>
      </c>
      <c r="B372" s="226"/>
      <c r="C372" s="226" t="s">
        <v>43</v>
      </c>
      <c r="D372" s="226"/>
      <c r="E372" s="52">
        <v>0.97</v>
      </c>
      <c r="H372" s="131" t="str">
        <f>CONCATENATE("Wooden scrap (without iron parts), Lying at ",C372,". Quantity in MT - ",E372,)</f>
        <v>Wooden scrap (without iron parts), Lying at CS Kotkapura. Quantity in MT - 0.97</v>
      </c>
    </row>
    <row r="373" spans="1:8" ht="20.25" customHeight="1" thickBot="1">
      <c r="A373" s="303" t="s">
        <v>14</v>
      </c>
      <c r="B373" s="304"/>
      <c r="C373" s="187"/>
      <c r="D373" s="187"/>
      <c r="E373" s="159">
        <f>SUM(E368:E372)</f>
        <v>3.292</v>
      </c>
      <c r="H373" s="140"/>
    </row>
    <row r="374" spans="1:8" ht="15" customHeight="1">
      <c r="A374" s="22"/>
      <c r="B374" s="22"/>
      <c r="C374" s="17"/>
      <c r="D374" s="17"/>
      <c r="E374" s="16"/>
      <c r="H374" s="140"/>
    </row>
    <row r="375" spans="1:8" ht="15" customHeight="1">
      <c r="A375" s="276" t="s">
        <v>11</v>
      </c>
      <c r="B375" s="277"/>
      <c r="C375" s="277"/>
      <c r="D375" s="277"/>
      <c r="E375" s="278"/>
      <c r="H375" s="140"/>
    </row>
    <row r="376" spans="1:8" ht="15" customHeight="1">
      <c r="A376" s="18"/>
      <c r="B376" s="19"/>
      <c r="C376" s="19"/>
      <c r="D376" s="19"/>
      <c r="E376" s="20"/>
      <c r="H376" s="140"/>
    </row>
    <row r="377" spans="1:8" ht="15" customHeight="1">
      <c r="A377" s="306" t="s">
        <v>8</v>
      </c>
      <c r="B377" s="307"/>
      <c r="C377" s="307"/>
      <c r="D377" s="307"/>
      <c r="E377" s="308"/>
      <c r="H377" s="140"/>
    </row>
    <row r="378" spans="1:8" ht="15" customHeight="1">
      <c r="A378" s="46" t="s">
        <v>5</v>
      </c>
      <c r="B378" s="227" t="s">
        <v>17</v>
      </c>
      <c r="C378" s="227"/>
      <c r="D378" s="179" t="s">
        <v>18</v>
      </c>
      <c r="E378" s="46" t="s">
        <v>77</v>
      </c>
      <c r="H378" s="132"/>
    </row>
    <row r="379" spans="1:8" ht="15" customHeight="1">
      <c r="A379" s="46" t="s">
        <v>79</v>
      </c>
      <c r="B379" s="259" t="s">
        <v>110</v>
      </c>
      <c r="C379" s="259"/>
      <c r="D379" s="46" t="s">
        <v>78</v>
      </c>
      <c r="E379" s="67">
        <v>26</v>
      </c>
      <c r="H379" s="131" t="str">
        <f>CONCATENATE("CT/PT Units, Lying at ",B379,". Quantity in No - ",E379,)</f>
        <v>CT/PT Units, Lying at Central Store Kotkapura. Quantity in No - 26</v>
      </c>
    </row>
    <row r="380" spans="1:8" ht="15" customHeight="1">
      <c r="A380" s="45"/>
      <c r="B380" s="100"/>
      <c r="C380" s="100"/>
      <c r="D380" s="75"/>
      <c r="E380" s="76"/>
      <c r="H380" s="140"/>
    </row>
    <row r="381" spans="1:8" ht="15" customHeight="1">
      <c r="A381" s="46" t="s">
        <v>5</v>
      </c>
      <c r="B381" s="227" t="s">
        <v>17</v>
      </c>
      <c r="C381" s="227"/>
      <c r="D381" s="179" t="s">
        <v>18</v>
      </c>
      <c r="E381" s="46" t="s">
        <v>77</v>
      </c>
      <c r="H381" s="140"/>
    </row>
    <row r="382" spans="1:8" ht="15" customHeight="1">
      <c r="A382" s="46" t="s">
        <v>123</v>
      </c>
      <c r="B382" s="259" t="s">
        <v>158</v>
      </c>
      <c r="C382" s="259"/>
      <c r="D382" s="46" t="s">
        <v>78</v>
      </c>
      <c r="E382" s="67">
        <v>20</v>
      </c>
      <c r="H382" s="131" t="str">
        <f>CONCATENATE("CT/PT Units, Lying at ",B382,". Quantity in No - ",E382,)</f>
        <v>CT/PT Units, Lying at Central Store Patiala. Quantity in No - 20</v>
      </c>
    </row>
    <row r="383" spans="1:8" ht="15" customHeight="1">
      <c r="A383" s="45"/>
      <c r="B383" s="108"/>
      <c r="C383" s="108"/>
      <c r="D383" s="47"/>
      <c r="E383" s="68"/>
      <c r="H383" s="140"/>
    </row>
    <row r="384" spans="1:8" ht="15" customHeight="1">
      <c r="A384" s="46" t="s">
        <v>5</v>
      </c>
      <c r="B384" s="227" t="s">
        <v>17</v>
      </c>
      <c r="C384" s="227"/>
      <c r="D384" s="179" t="s">
        <v>18</v>
      </c>
      <c r="E384" s="46" t="s">
        <v>77</v>
      </c>
      <c r="H384" s="140"/>
    </row>
    <row r="385" spans="1:8" ht="15" customHeight="1">
      <c r="A385" s="46" t="s">
        <v>194</v>
      </c>
      <c r="B385" s="259" t="s">
        <v>183</v>
      </c>
      <c r="C385" s="259"/>
      <c r="D385" s="46" t="s">
        <v>78</v>
      </c>
      <c r="E385" s="67">
        <v>29</v>
      </c>
      <c r="H385" s="131" t="str">
        <f>CONCATENATE("CT/PT Units, Lying at ",B385,". Quantity in No - ",E385,)</f>
        <v>CT/PT Units, Lying at Outlet store Ropar. Quantity in No - 29</v>
      </c>
    </row>
    <row r="386" spans="1:8" ht="15" customHeight="1">
      <c r="A386" s="45"/>
      <c r="B386" s="108"/>
      <c r="C386" s="108"/>
      <c r="D386" s="75"/>
      <c r="E386" s="76"/>
      <c r="H386" s="140"/>
    </row>
    <row r="387" spans="1:8" ht="15" customHeight="1">
      <c r="A387" s="46" t="s">
        <v>5</v>
      </c>
      <c r="B387" s="227" t="s">
        <v>17</v>
      </c>
      <c r="C387" s="227"/>
      <c r="D387" s="179" t="s">
        <v>18</v>
      </c>
      <c r="E387" s="46" t="s">
        <v>77</v>
      </c>
      <c r="H387" s="140"/>
    </row>
    <row r="388" spans="1:8" ht="15" customHeight="1">
      <c r="A388" s="46" t="s">
        <v>203</v>
      </c>
      <c r="B388" s="259" t="s">
        <v>207</v>
      </c>
      <c r="C388" s="259"/>
      <c r="D388" s="46" t="s">
        <v>78</v>
      </c>
      <c r="E388" s="67">
        <v>37</v>
      </c>
      <c r="H388" s="131" t="str">
        <f>CONCATENATE("CT/PT Units, Lying at ",B388,". Quantity in No - ",E388,)</f>
        <v>CT/PT Units, Lying at Central Store Sangrur. Quantity in No - 37</v>
      </c>
    </row>
    <row r="389" spans="1:8" ht="15" customHeight="1">
      <c r="A389" s="45"/>
      <c r="B389" s="108"/>
      <c r="C389" s="108"/>
      <c r="D389" s="75"/>
      <c r="E389" s="76"/>
      <c r="H389" s="132"/>
    </row>
    <row r="390" spans="1:8" ht="15" customHeight="1">
      <c r="A390" s="46" t="s">
        <v>5</v>
      </c>
      <c r="B390" s="227" t="s">
        <v>17</v>
      </c>
      <c r="C390" s="227"/>
      <c r="D390" s="179" t="s">
        <v>18</v>
      </c>
      <c r="E390" s="46" t="s">
        <v>77</v>
      </c>
      <c r="H390" s="132"/>
    </row>
    <row r="391" spans="1:8" ht="15" customHeight="1">
      <c r="A391" s="46" t="s">
        <v>283</v>
      </c>
      <c r="B391" s="259" t="s">
        <v>333</v>
      </c>
      <c r="C391" s="259"/>
      <c r="D391" s="46" t="s">
        <v>78</v>
      </c>
      <c r="E391" s="67">
        <v>25</v>
      </c>
      <c r="H391" s="131" t="str">
        <f>CONCATENATE("CT/PT Units, Lying at ",B391,". Quantity in No - ",E391,)</f>
        <v>CT/PT Units, Lying at Central Store Bathinda. Quantity in No - 25</v>
      </c>
    </row>
    <row r="392" spans="1:8" ht="15" customHeight="1">
      <c r="A392" s="45"/>
      <c r="B392" s="108"/>
      <c r="C392" s="108"/>
      <c r="D392" s="47"/>
      <c r="E392" s="68"/>
      <c r="H392" s="132"/>
    </row>
    <row r="393" spans="1:8" ht="15" customHeight="1">
      <c r="A393" s="46" t="s">
        <v>5</v>
      </c>
      <c r="B393" s="227" t="s">
        <v>17</v>
      </c>
      <c r="C393" s="227"/>
      <c r="D393" s="179" t="s">
        <v>18</v>
      </c>
      <c r="E393" s="46" t="s">
        <v>77</v>
      </c>
      <c r="H393" s="132"/>
    </row>
    <row r="394" spans="1:8" ht="15" customHeight="1">
      <c r="A394" s="46" t="s">
        <v>334</v>
      </c>
      <c r="B394" s="259" t="s">
        <v>110</v>
      </c>
      <c r="C394" s="259"/>
      <c r="D394" s="46" t="s">
        <v>284</v>
      </c>
      <c r="E394" s="67">
        <v>167</v>
      </c>
      <c r="H394" s="131" t="str">
        <f>CONCATENATE("Empty steel drums (cap 209 ltrs), Lying at ",B394,". Quantity in No - ",E394,)</f>
        <v>Empty steel drums (cap 209 ltrs), Lying at Central Store Kotkapura. Quantity in No - 167</v>
      </c>
    </row>
    <row r="395" spans="1:8" ht="15" customHeight="1">
      <c r="A395" s="45"/>
      <c r="B395" s="100"/>
      <c r="C395" s="100"/>
      <c r="D395" s="75"/>
      <c r="E395" s="76"/>
      <c r="H395" s="140"/>
    </row>
    <row r="396" spans="1:8" ht="15" customHeight="1">
      <c r="A396" s="289" t="s">
        <v>16</v>
      </c>
      <c r="B396" s="290"/>
      <c r="C396" s="290"/>
      <c r="D396" s="290"/>
      <c r="E396" s="291"/>
      <c r="H396" s="140"/>
    </row>
    <row r="397" spans="1:8" ht="15" customHeight="1">
      <c r="A397" s="23"/>
      <c r="B397" s="24"/>
      <c r="C397" s="24"/>
      <c r="D397" s="24"/>
      <c r="E397" s="25"/>
      <c r="H397" s="140"/>
    </row>
    <row r="398" spans="1:8" ht="15" customHeight="1">
      <c r="A398" s="260" t="s">
        <v>15</v>
      </c>
      <c r="B398" s="261"/>
      <c r="C398" s="261"/>
      <c r="D398" s="261"/>
      <c r="E398" s="262"/>
      <c r="H398" s="140"/>
    </row>
    <row r="399" spans="1:8" ht="15" customHeight="1">
      <c r="A399" s="189"/>
      <c r="B399" s="190"/>
      <c r="C399" s="190"/>
      <c r="D399" s="190"/>
      <c r="E399" s="191"/>
      <c r="H399" s="140"/>
    </row>
    <row r="400" spans="1:8" ht="15" customHeight="1">
      <c r="A400" s="298" t="s">
        <v>49</v>
      </c>
      <c r="B400" s="299"/>
      <c r="C400" s="299"/>
      <c r="D400" s="299"/>
      <c r="E400" s="300"/>
      <c r="H400" s="140"/>
    </row>
    <row r="401" spans="1:11" ht="38.25" customHeight="1">
      <c r="A401" s="15" t="s">
        <v>5</v>
      </c>
      <c r="B401" s="15" t="s">
        <v>1</v>
      </c>
      <c r="C401" s="15" t="s">
        <v>2</v>
      </c>
      <c r="D401" s="15" t="s">
        <v>3</v>
      </c>
      <c r="E401" s="15" t="s">
        <v>4</v>
      </c>
      <c r="G401" s="148"/>
      <c r="H401" s="147"/>
      <c r="I401" s="134"/>
      <c r="J401" s="134"/>
      <c r="K401" s="135"/>
    </row>
    <row r="402" spans="1:8" ht="25.5" customHeight="1">
      <c r="A402" s="12" t="s">
        <v>111</v>
      </c>
      <c r="B402" s="12" t="s">
        <v>89</v>
      </c>
      <c r="C402" s="12" t="s">
        <v>107</v>
      </c>
      <c r="D402" s="12" t="s">
        <v>90</v>
      </c>
      <c r="E402" s="28" t="s">
        <v>256</v>
      </c>
      <c r="G402" s="132"/>
      <c r="H402" s="143" t="str">
        <f>CONCATENATE("Condemned/obsolete Vehicles  (Without RC )--- ",B402," ",C402," ",E402," ",)</f>
        <v>Condemned/obsolete Vehicles  (Without RC )--- PB-11 AH-0925 HONDA CIVIC CAR (PETROL) 2008 …. CE/ TA &amp; I PSPCL PATIALA 96461-19587 </v>
      </c>
    </row>
    <row r="403" spans="1:8" ht="25.5" customHeight="1">
      <c r="A403" s="12" t="s">
        <v>147</v>
      </c>
      <c r="B403" s="27" t="s">
        <v>144</v>
      </c>
      <c r="C403" s="27" t="s">
        <v>145</v>
      </c>
      <c r="D403" s="27" t="s">
        <v>146</v>
      </c>
      <c r="E403" s="27" t="s">
        <v>257</v>
      </c>
      <c r="G403" s="132"/>
      <c r="H403" s="143" t="str">
        <f>CONCATENATE("Condemned/obsolete Vehicles  (Without RC )--- ",B403," ",C403," ",E403," ",)</f>
        <v>Condemned/obsolete Vehicles  (Without RC )--- PB-05 F-9520 MINI TRUCK EICHER DIESEL (1999) ….. DS S/D MAMDOT PSPCL FEROZEPUR MOB 9646114589 </v>
      </c>
    </row>
    <row r="404" spans="1:8" ht="25.5" customHeight="1">
      <c r="A404" s="12" t="s">
        <v>150</v>
      </c>
      <c r="B404" s="27" t="s">
        <v>151</v>
      </c>
      <c r="C404" s="27" t="s">
        <v>152</v>
      </c>
      <c r="D404" s="27" t="s">
        <v>153</v>
      </c>
      <c r="E404" s="27" t="s">
        <v>258</v>
      </c>
      <c r="G404" s="132"/>
      <c r="H404" s="143" t="str">
        <f>CONCATENATE("Condemned/obsolete Vehicles  (Without RC )--- ",B404," ",C404," ",E404," ",)</f>
        <v>Condemned/obsolete Vehicles  (Without RC )--- PB-03 N-5547 AMBASSADOR CAR DIESEL (2005) ….. DS DIVISION BADAL 96461-14534 </v>
      </c>
    </row>
    <row r="405" spans="1:8" ht="25.5" customHeight="1">
      <c r="A405" s="12" t="s">
        <v>368</v>
      </c>
      <c r="B405" s="120" t="s">
        <v>369</v>
      </c>
      <c r="C405" s="120" t="s">
        <v>366</v>
      </c>
      <c r="D405" s="120" t="s">
        <v>373</v>
      </c>
      <c r="E405" s="120" t="s">
        <v>367</v>
      </c>
      <c r="G405" s="132"/>
      <c r="H405" s="143" t="str">
        <f>CONCATENATE("Condemned/obsolete Vehicles  (Without RC )--- ",B405," ",C405," ",E405," ",)</f>
        <v>Condemned/obsolete Vehicles  (Without RC )--- PB-04 E-9807 MINI TRUCK TATA DIESEL (1995) SUB URBAN  DS KOTKAPURA 96461-14931 </v>
      </c>
    </row>
    <row r="406" spans="1:8" ht="25.5" customHeight="1">
      <c r="A406" s="12" t="s">
        <v>370</v>
      </c>
      <c r="B406" s="120" t="s">
        <v>371</v>
      </c>
      <c r="C406" s="120" t="s">
        <v>372</v>
      </c>
      <c r="D406" s="120" t="s">
        <v>373</v>
      </c>
      <c r="E406" s="120" t="s">
        <v>367</v>
      </c>
      <c r="G406" s="132"/>
      <c r="H406" s="143" t="str">
        <f>CONCATENATE("Condemned/obsolete Vehicles  (Without RC )--- ",B406," ",C406," ",E406," ",)</f>
        <v>Condemned/obsolete Vehicles  (Without RC )--- PB-03 A- 3324 MINI TRUCK DIESEL (1990) (Mahindra Jeep ) SUB URBAN  DS KOTKAPURA 96461-14931 </v>
      </c>
    </row>
    <row r="407" spans="1:8" ht="15" customHeight="1">
      <c r="A407" s="21"/>
      <c r="B407" s="26"/>
      <c r="C407" s="26"/>
      <c r="D407" s="21"/>
      <c r="E407" s="21"/>
      <c r="H407" s="140"/>
    </row>
    <row r="408" spans="1:8" ht="15" customHeight="1">
      <c r="A408" s="292" t="s">
        <v>50</v>
      </c>
      <c r="B408" s="293"/>
      <c r="C408" s="293"/>
      <c r="D408" s="293"/>
      <c r="E408" s="294"/>
      <c r="H408" s="140"/>
    </row>
    <row r="409" spans="1:8" ht="15" customHeight="1">
      <c r="A409" s="257" t="s">
        <v>108</v>
      </c>
      <c r="B409" s="258"/>
      <c r="C409" s="258"/>
      <c r="D409" s="258"/>
      <c r="E409" s="258"/>
      <c r="H409" s="140"/>
    </row>
    <row r="410" spans="1:8" ht="15" customHeight="1">
      <c r="A410" s="7"/>
      <c r="B410" s="8"/>
      <c r="C410" s="8"/>
      <c r="D410" s="8"/>
      <c r="E410" s="8"/>
      <c r="F410" s="172"/>
      <c r="G410" s="172"/>
      <c r="H410" s="140"/>
    </row>
    <row r="411" spans="1:8" ht="15" customHeight="1">
      <c r="A411" s="289" t="s">
        <v>25</v>
      </c>
      <c r="B411" s="290"/>
      <c r="C411" s="290"/>
      <c r="D411" s="290"/>
      <c r="E411" s="291"/>
      <c r="H411" s="140"/>
    </row>
    <row r="412" spans="1:8" ht="15" customHeight="1">
      <c r="A412" s="77"/>
      <c r="B412" s="77"/>
      <c r="C412" s="78"/>
      <c r="D412" s="78"/>
      <c r="E412" s="79">
        <f>SUM(E414:E417)</f>
        <v>4.129</v>
      </c>
      <c r="F412" s="172"/>
      <c r="H412" s="140"/>
    </row>
    <row r="413" spans="1:18" ht="15" customHeight="1">
      <c r="A413" s="233" t="s">
        <v>5</v>
      </c>
      <c r="B413" s="235"/>
      <c r="C413" s="80" t="s">
        <v>17</v>
      </c>
      <c r="D413" s="81" t="s">
        <v>18</v>
      </c>
      <c r="E413" s="80" t="s">
        <v>7</v>
      </c>
      <c r="F413" s="129"/>
      <c r="G413" s="131" t="str">
        <f>CONCATENATE("Misc. Healthy parts/ Non Ferrous  Scrap, Lying at ",C414,". Quantity in MT - ")</f>
        <v>Misc. Healthy parts/ Non Ferrous  Scrap, Lying at TRY Bathinda. Quantity in MT - </v>
      </c>
      <c r="H413" s="305" t="str">
        <f ca="1">CONCATENATE(G413,G414,(INDIRECT(I414)),(INDIRECT(J414)),(INDIRECT(K414)),(INDIRECT(L414)),(INDIRECT(M414)),(INDIRECT(N414)),(INDIRECT(O414)),(INDIRECT(P414)),(INDIRECT(Q414)),(INDIRECT(R414)),".")</f>
        <v>Misc. Healthy parts/ Non Ferrous  Scrap, Lying at TRY Bathinda. Quantity in MT - Brass scrap - 2.683, Misc. Aluminium scrap - 0.893, Burnt Cu scrap - 0.203, Nuts &amp; Bolts scrap - 0.35, .</v>
      </c>
      <c r="I413" s="138" t="str">
        <f aca="true" ca="1" t="array" ref="I413">CELL("address",INDEX(G413:G435,MATCH(TRUE,ISBLANK(G413:G435),0)))</f>
        <v>$G$418</v>
      </c>
      <c r="J413" s="138">
        <f aca="true" t="array" ref="J413">MATCH(TRUE,ISBLANK(G413:G435),0)</f>
        <v>6</v>
      </c>
      <c r="K413" s="138">
        <f>J413-3</f>
        <v>3</v>
      </c>
      <c r="L413" s="138"/>
      <c r="M413" s="138"/>
      <c r="N413" s="138"/>
      <c r="O413" s="138"/>
      <c r="P413" s="138"/>
      <c r="Q413" s="138"/>
      <c r="R413" s="138"/>
    </row>
    <row r="414" spans="1:18" ht="15" customHeight="1">
      <c r="A414" s="226" t="s">
        <v>34</v>
      </c>
      <c r="B414" s="226"/>
      <c r="C414" s="227" t="s">
        <v>36</v>
      </c>
      <c r="D414" s="46" t="s">
        <v>23</v>
      </c>
      <c r="E414" s="52">
        <v>2.683</v>
      </c>
      <c r="F414" s="129"/>
      <c r="G414" s="129" t="str">
        <f>CONCATENATE(D414," - ",E414,", ")</f>
        <v>Brass scrap - 2.683, </v>
      </c>
      <c r="H414" s="305"/>
      <c r="I414" s="138" t="str">
        <f ca="1">IF(J413&gt;=3,(MID(I413,2,1)&amp;MID(I413,4,4)-K413),CELL("address",Z414))</f>
        <v>G415</v>
      </c>
      <c r="J414" s="138" t="str">
        <f ca="1">IF(J413&gt;=4,(MID(I414,1,1)&amp;MID(I414,2,4)+1),CELL("address",AA414))</f>
        <v>G416</v>
      </c>
      <c r="K414" s="138" t="str">
        <f ca="1">IF(J413&gt;=5,(MID(J414,1,1)&amp;MID(J414,2,4)+1),CELL("address",AB414))</f>
        <v>G417</v>
      </c>
      <c r="L414" s="138" t="str">
        <f ca="1">IF(J413&gt;=6,(MID(K414,1,1)&amp;MID(K414,2,4)+1),CELL("address",AC414))</f>
        <v>G418</v>
      </c>
      <c r="M414" s="138" t="str">
        <f ca="1">IF(J413&gt;=7,(MID(L414,1,1)&amp;MID(L414,2,4)+1),CELL("address",AD414))</f>
        <v>$AD$414</v>
      </c>
      <c r="N414" s="138" t="str">
        <f ca="1">IF(J413&gt;=8,(MID(M414,1,1)&amp;MID(M414,2,4)+1),CELL("address",AE414))</f>
        <v>$AE$414</v>
      </c>
      <c r="O414" s="138" t="str">
        <f ca="1">IF(J413&gt;=9,(MID(N414,1,1)&amp;MID(N414,2,4)+1),CELL("address",AF414))</f>
        <v>$AF$414</v>
      </c>
      <c r="P414" s="138" t="str">
        <f ca="1">IF(J413&gt;=10,(MID(O414,1,1)&amp;MID(O414,2,4)+1),CELL("address",AG414))</f>
        <v>$AG$414</v>
      </c>
      <c r="Q414" s="138" t="str">
        <f ca="1">IF(J413&gt;=11,(MID(P414,1,1)&amp;MID(P414,2,4)+1),CELL("address",AH414))</f>
        <v>$AH$414</v>
      </c>
      <c r="R414" s="138" t="str">
        <f ca="1">IF(J413&gt;=12,(MID(Q414,1,1)&amp;MID(Q414,2,4)+1),CELL("address",AI414))</f>
        <v>$AI$414</v>
      </c>
    </row>
    <row r="415" spans="1:8" ht="15" customHeight="1">
      <c r="A415" s="226"/>
      <c r="B415" s="226"/>
      <c r="C415" s="227"/>
      <c r="D415" s="46" t="s">
        <v>24</v>
      </c>
      <c r="E415" s="52">
        <v>0.893</v>
      </c>
      <c r="F415" s="129"/>
      <c r="G415" s="129" t="str">
        <f>CONCATENATE(D415," - ",E415,", ")</f>
        <v>Misc. Aluminium scrap - 0.893, </v>
      </c>
      <c r="H415" s="142"/>
    </row>
    <row r="416" spans="1:8" ht="15" customHeight="1">
      <c r="A416" s="226"/>
      <c r="B416" s="226"/>
      <c r="C416" s="227"/>
      <c r="D416" s="46" t="s">
        <v>37</v>
      </c>
      <c r="E416" s="52">
        <v>0.203</v>
      </c>
      <c r="F416" s="129"/>
      <c r="G416" s="129" t="str">
        <f>CONCATENATE(D416," - ",E416,", ")</f>
        <v>Burnt Cu scrap - 0.203, </v>
      </c>
      <c r="H416" s="142"/>
    </row>
    <row r="417" spans="1:23" ht="15" customHeight="1">
      <c r="A417" s="226"/>
      <c r="B417" s="226"/>
      <c r="C417" s="227"/>
      <c r="D417" s="46" t="s">
        <v>59</v>
      </c>
      <c r="E417" s="52">
        <v>0.35</v>
      </c>
      <c r="F417" s="129"/>
      <c r="G417" s="129" t="str">
        <f>CONCATENATE(D417," - ",E417,", ")</f>
        <v>Nuts &amp; Bolts scrap - 0.35, </v>
      </c>
      <c r="H417" s="142"/>
      <c r="T417" s="309"/>
      <c r="U417" s="309"/>
      <c r="V417" s="309"/>
      <c r="W417" s="309"/>
    </row>
    <row r="418" spans="1:8" ht="15" customHeight="1">
      <c r="A418" s="233"/>
      <c r="B418" s="235"/>
      <c r="C418" s="179"/>
      <c r="D418" s="46"/>
      <c r="E418" s="52"/>
      <c r="F418" s="129"/>
      <c r="G418" s="129"/>
      <c r="H418" s="142"/>
    </row>
    <row r="419" spans="1:8" ht="17.25" customHeight="1">
      <c r="A419" s="228"/>
      <c r="B419" s="229"/>
      <c r="C419" s="83"/>
      <c r="D419" s="83"/>
      <c r="E419" s="84">
        <f>SUM(E421:E426)</f>
        <v>11.541</v>
      </c>
      <c r="F419" s="129"/>
      <c r="G419" s="129"/>
      <c r="H419" s="142"/>
    </row>
    <row r="420" spans="1:18" ht="17.25" customHeight="1">
      <c r="A420" s="239" t="s">
        <v>5</v>
      </c>
      <c r="B420" s="240"/>
      <c r="C420" s="80" t="s">
        <v>17</v>
      </c>
      <c r="D420" s="81" t="s">
        <v>18</v>
      </c>
      <c r="E420" s="80" t="s">
        <v>7</v>
      </c>
      <c r="F420" s="129"/>
      <c r="G420" s="131" t="str">
        <f>CONCATENATE("Misc. Healthy parts/ Non Ferrous  Scrap, Lying at ",C421,". Quantity in MT - ")</f>
        <v>Misc. Healthy parts/ Non Ferrous  Scrap, Lying at TRY Ferozepur. Quantity in MT - </v>
      </c>
      <c r="H420" s="256" t="str">
        <f ca="1">CONCATENATE(G420,G421,(INDIRECT(I421)),(INDIRECT(J421)),(INDIRECT(K421)),(INDIRECT(L421)),(INDIRECT(M421)),(INDIRECT(N421)),(INDIRECT(O421)),(INDIRECT(P421)),(INDIRECT(Q421)),(INDIRECT(R421)),".")</f>
        <v>Misc. Healthy parts/ Non Ferrous  Scrap, Lying at TRY Ferozepur. Quantity in MT - Brass scrap - 5.187, Misc. Aluminium scrap - 0.926, Iron scrap - 0.651, Burnt Cu scrap - 0.235, Nuts &amp; Bolts scrap - 4.092, Teen Patra scrap - 0.45, .</v>
      </c>
      <c r="I420" s="138" t="str">
        <f aca="true" ca="1" t="array" ref="I420">CELL("address",INDEX(G420:G442,MATCH(TRUE,ISBLANK(G420:G442),0)))</f>
        <v>$G$427</v>
      </c>
      <c r="J420" s="138">
        <f aca="true" t="array" ref="J420">MATCH(TRUE,ISBLANK(G420:G442),0)</f>
        <v>8</v>
      </c>
      <c r="K420" s="138">
        <f>J420-3</f>
        <v>5</v>
      </c>
      <c r="L420" s="138"/>
      <c r="M420" s="138"/>
      <c r="N420" s="138"/>
      <c r="O420" s="138"/>
      <c r="P420" s="138"/>
      <c r="Q420" s="138"/>
      <c r="R420" s="138"/>
    </row>
    <row r="421" spans="1:18" ht="17.25" customHeight="1">
      <c r="A421" s="226" t="s">
        <v>112</v>
      </c>
      <c r="B421" s="226"/>
      <c r="C421" s="227" t="s">
        <v>42</v>
      </c>
      <c r="D421" s="46" t="s">
        <v>23</v>
      </c>
      <c r="E421" s="52">
        <v>5.187</v>
      </c>
      <c r="F421" s="129"/>
      <c r="G421" s="129" t="str">
        <f aca="true" t="shared" si="3" ref="G421:G426">CONCATENATE(D421," - ",E421,", ")</f>
        <v>Brass scrap - 5.187, </v>
      </c>
      <c r="H421" s="256"/>
      <c r="I421" s="138" t="str">
        <f ca="1">IF(J420&gt;=3,(MID(I420,2,1)&amp;MID(I420,4,4)-K420),CELL("address",Z421))</f>
        <v>G422</v>
      </c>
      <c r="J421" s="138" t="str">
        <f ca="1">IF(J420&gt;=4,(MID(I421,1,1)&amp;MID(I421,2,4)+1),CELL("address",AA421))</f>
        <v>G423</v>
      </c>
      <c r="K421" s="138" t="str">
        <f ca="1">IF(J420&gt;=5,(MID(J421,1,1)&amp;MID(J421,2,4)+1),CELL("address",AB421))</f>
        <v>G424</v>
      </c>
      <c r="L421" s="138" t="str">
        <f ca="1">IF(J420&gt;=6,(MID(K421,1,1)&amp;MID(K421,2,4)+1),CELL("address",AC421))</f>
        <v>G425</v>
      </c>
      <c r="M421" s="138" t="str">
        <f ca="1">IF(J420&gt;=7,(MID(L421,1,1)&amp;MID(L421,2,4)+1),CELL("address",AD421))</f>
        <v>G426</v>
      </c>
      <c r="N421" s="138" t="str">
        <f ca="1">IF(J420&gt;=8,(MID(M421,1,1)&amp;MID(M421,2,4)+1),CELL("address",AE421))</f>
        <v>G427</v>
      </c>
      <c r="O421" s="138" t="str">
        <f ca="1">IF(J420&gt;=9,(MID(N421,1,1)&amp;MID(N421,2,4)+1),CELL("address",AF421))</f>
        <v>$AF$421</v>
      </c>
      <c r="P421" s="138" t="str">
        <f ca="1">IF(J420&gt;=10,(MID(O421,1,1)&amp;MID(O421,2,4)+1),CELL("address",AG421))</f>
        <v>$AG$421</v>
      </c>
      <c r="Q421" s="138" t="str">
        <f ca="1">IF(J420&gt;=11,(MID(P421,1,1)&amp;MID(P421,2,4)+1),CELL("address",AH421))</f>
        <v>$AH$421</v>
      </c>
      <c r="R421" s="138" t="str">
        <f ca="1">IF(J420&gt;=12,(MID(Q421,1,1)&amp;MID(Q421,2,4)+1),CELL("address",AI421))</f>
        <v>$AI$421</v>
      </c>
    </row>
    <row r="422" spans="1:8" ht="17.25" customHeight="1">
      <c r="A422" s="226"/>
      <c r="B422" s="226"/>
      <c r="C422" s="227"/>
      <c r="D422" s="46" t="s">
        <v>24</v>
      </c>
      <c r="E422" s="52">
        <v>0.926</v>
      </c>
      <c r="F422" s="129"/>
      <c r="G422" s="129" t="str">
        <f t="shared" si="3"/>
        <v>Misc. Aluminium scrap - 0.926, </v>
      </c>
      <c r="H422" s="142"/>
    </row>
    <row r="423" spans="1:8" ht="17.25" customHeight="1">
      <c r="A423" s="226"/>
      <c r="B423" s="226"/>
      <c r="C423" s="227"/>
      <c r="D423" s="46" t="s">
        <v>27</v>
      </c>
      <c r="E423" s="80">
        <v>0.651</v>
      </c>
      <c r="F423" s="129"/>
      <c r="G423" s="129" t="str">
        <f t="shared" si="3"/>
        <v>Iron scrap - 0.651, </v>
      </c>
      <c r="H423" s="142"/>
    </row>
    <row r="424" spans="1:8" ht="17.25" customHeight="1">
      <c r="A424" s="226"/>
      <c r="B424" s="226"/>
      <c r="C424" s="227"/>
      <c r="D424" s="46" t="s">
        <v>37</v>
      </c>
      <c r="E424" s="80">
        <v>0.235</v>
      </c>
      <c r="F424" s="129"/>
      <c r="G424" s="129" t="str">
        <f t="shared" si="3"/>
        <v>Burnt Cu scrap - 0.235, </v>
      </c>
      <c r="H424" s="142"/>
    </row>
    <row r="425" spans="1:8" ht="15" customHeight="1">
      <c r="A425" s="226"/>
      <c r="B425" s="226"/>
      <c r="C425" s="227"/>
      <c r="D425" s="46" t="s">
        <v>59</v>
      </c>
      <c r="E425" s="80">
        <v>4.092</v>
      </c>
      <c r="F425" s="129"/>
      <c r="G425" s="129" t="str">
        <f t="shared" si="3"/>
        <v>Nuts &amp; Bolts scrap - 4.092, </v>
      </c>
      <c r="H425" s="142"/>
    </row>
    <row r="426" spans="1:8" ht="15" customHeight="1">
      <c r="A426" s="226"/>
      <c r="B426" s="226"/>
      <c r="C426" s="227"/>
      <c r="D426" s="46" t="s">
        <v>65</v>
      </c>
      <c r="E426" s="82">
        <v>0.45</v>
      </c>
      <c r="F426" s="129"/>
      <c r="G426" s="129" t="str">
        <f t="shared" si="3"/>
        <v>Teen Patra scrap - 0.45, </v>
      </c>
      <c r="H426" s="142"/>
    </row>
    <row r="427" spans="1:8" ht="15" customHeight="1">
      <c r="A427" s="45"/>
      <c r="B427" s="48"/>
      <c r="C427" s="179"/>
      <c r="D427" s="46"/>
      <c r="E427" s="82"/>
      <c r="F427" s="129"/>
      <c r="G427" s="129"/>
      <c r="H427" s="142"/>
    </row>
    <row r="428" spans="1:8" ht="15" customHeight="1">
      <c r="A428" s="228"/>
      <c r="B428" s="229"/>
      <c r="C428" s="83"/>
      <c r="D428" s="83"/>
      <c r="E428" s="84">
        <f>SUM(E430:E434)</f>
        <v>3.672</v>
      </c>
      <c r="F428" s="129"/>
      <c r="G428" s="129"/>
      <c r="H428" s="142"/>
    </row>
    <row r="429" spans="1:18" ht="15" customHeight="1">
      <c r="A429" s="226" t="s">
        <v>5</v>
      </c>
      <c r="B429" s="226"/>
      <c r="C429" s="80" t="s">
        <v>17</v>
      </c>
      <c r="D429" s="81" t="s">
        <v>18</v>
      </c>
      <c r="E429" s="80" t="s">
        <v>7</v>
      </c>
      <c r="F429" s="129"/>
      <c r="G429" s="131" t="str">
        <f>CONCATENATE("Misc. Healthy parts/ Non Ferrous  Scrap, Lying at ",C430,". Quantity in MT - ")</f>
        <v>Misc. Healthy parts/ Non Ferrous  Scrap, Lying at OL store Ropar. Quantity in MT - </v>
      </c>
      <c r="H429" s="256" t="str">
        <f ca="1">CONCATENATE(G429,G430,(INDIRECT(I430)),(INDIRECT(J430)),(INDIRECT(K430)),(INDIRECT(L430)),(INDIRECT(M430)),(INDIRECT(N430)),(INDIRECT(O430)),(INDIRECT(P430)),(INDIRECT(Q430)),(INDIRECT(R430)),".")</f>
        <v>Misc. Healthy parts/ Non Ferrous  Scrap, Lying at OL store Ropar. Quantity in MT - Brass scrap - 2.473, Misc. Aluminium scrap - 0.346, Burnt Cu scrap - 0.298, All Alumn. Conductor Scrap - 0.317, Misc. Copper scrap - 0.238, .</v>
      </c>
      <c r="I429" s="138" t="str">
        <f aca="true" ca="1" t="array" ref="I429">CELL("address",INDEX(G429:G451,MATCH(TRUE,ISBLANK(G429:G451),0)))</f>
        <v>$G$435</v>
      </c>
      <c r="J429" s="138">
        <f aca="true" t="array" ref="J429">MATCH(TRUE,ISBLANK(G429:G451),0)</f>
        <v>7</v>
      </c>
      <c r="K429" s="138">
        <f>J429-3</f>
        <v>4</v>
      </c>
      <c r="L429" s="138"/>
      <c r="M429" s="138"/>
      <c r="N429" s="138"/>
      <c r="O429" s="138"/>
      <c r="P429" s="138"/>
      <c r="Q429" s="138"/>
      <c r="R429" s="138"/>
    </row>
    <row r="430" spans="1:18" ht="15" customHeight="1">
      <c r="A430" s="239" t="s">
        <v>26</v>
      </c>
      <c r="B430" s="240"/>
      <c r="C430" s="245" t="s">
        <v>46</v>
      </c>
      <c r="D430" s="46" t="s">
        <v>23</v>
      </c>
      <c r="E430" s="52">
        <v>2.473</v>
      </c>
      <c r="F430" s="129"/>
      <c r="G430" s="129" t="str">
        <f>CONCATENATE(D430," - ",E430,", ")</f>
        <v>Brass scrap - 2.473, </v>
      </c>
      <c r="H430" s="256"/>
      <c r="I430" s="138" t="str">
        <f ca="1">IF(J429&gt;=3,(MID(I429,2,1)&amp;MID(I429,4,4)-K429),CELL("address",Z430))</f>
        <v>G431</v>
      </c>
      <c r="J430" s="138" t="str">
        <f ca="1">IF(J429&gt;=4,(MID(I430,1,1)&amp;MID(I430,2,4)+1),CELL("address",AA430))</f>
        <v>G432</v>
      </c>
      <c r="K430" s="138" t="str">
        <f ca="1">IF(J429&gt;=5,(MID(J430,1,1)&amp;MID(J430,2,4)+1),CELL("address",AB430))</f>
        <v>G433</v>
      </c>
      <c r="L430" s="138" t="str">
        <f ca="1">IF(J429&gt;=6,(MID(K430,1,1)&amp;MID(K430,2,4)+1),CELL("address",AC430))</f>
        <v>G434</v>
      </c>
      <c r="M430" s="138" t="str">
        <f ca="1">IF(J429&gt;=7,(MID(L430,1,1)&amp;MID(L430,2,4)+1),CELL("address",AD430))</f>
        <v>G435</v>
      </c>
      <c r="N430" s="138" t="str">
        <f ca="1">IF(J429&gt;=8,(MID(M430,1,1)&amp;MID(M430,2,4)+1),CELL("address",AE430))</f>
        <v>$AE$430</v>
      </c>
      <c r="O430" s="138" t="str">
        <f ca="1">IF(J429&gt;=9,(MID(N430,1,1)&amp;MID(N430,2,4)+1),CELL("address",AF430))</f>
        <v>$AF$430</v>
      </c>
      <c r="P430" s="138" t="str">
        <f ca="1">IF(J429&gt;=10,(MID(O430,1,1)&amp;MID(O430,2,4)+1),CELL("address",AG430))</f>
        <v>$AG$430</v>
      </c>
      <c r="Q430" s="138" t="str">
        <f ca="1">IF(J429&gt;=11,(MID(P430,1,1)&amp;MID(P430,2,4)+1),CELL("address",AH430))</f>
        <v>$AH$430</v>
      </c>
      <c r="R430" s="138" t="str">
        <f ca="1">IF(J429&gt;=12,(MID(Q430,1,1)&amp;MID(Q430,2,4)+1),CELL("address",AI430))</f>
        <v>$AI$430</v>
      </c>
    </row>
    <row r="431" spans="1:8" ht="15" customHeight="1">
      <c r="A431" s="241"/>
      <c r="B431" s="242"/>
      <c r="C431" s="246"/>
      <c r="D431" s="46" t="s">
        <v>24</v>
      </c>
      <c r="E431" s="52">
        <v>0.346</v>
      </c>
      <c r="F431" s="129"/>
      <c r="G431" s="129" t="str">
        <f>CONCATENATE(D431," - ",E431,", ")</f>
        <v>Misc. Aluminium scrap - 0.346, </v>
      </c>
      <c r="H431" s="142"/>
    </row>
    <row r="432" spans="1:8" ht="15" customHeight="1">
      <c r="A432" s="241"/>
      <c r="B432" s="242"/>
      <c r="C432" s="246"/>
      <c r="D432" s="45" t="s">
        <v>37</v>
      </c>
      <c r="E432" s="52">
        <v>0.298</v>
      </c>
      <c r="F432" s="129"/>
      <c r="G432" s="129" t="str">
        <f>CONCATENATE(D432," - ",E432,", ")</f>
        <v>Burnt Cu scrap - 0.298, </v>
      </c>
      <c r="H432" s="142"/>
    </row>
    <row r="433" spans="1:8" ht="15" customHeight="1">
      <c r="A433" s="241"/>
      <c r="B433" s="242"/>
      <c r="C433" s="246"/>
      <c r="D433" s="51" t="s">
        <v>32</v>
      </c>
      <c r="E433" s="52">
        <v>0.317</v>
      </c>
      <c r="F433" s="129"/>
      <c r="G433" s="129" t="str">
        <f>CONCATENATE(D433," - ",E433,", ")</f>
        <v>All Alumn. Conductor Scrap - 0.317, </v>
      </c>
      <c r="H433" s="142"/>
    </row>
    <row r="434" spans="1:8" ht="15" customHeight="1">
      <c r="A434" s="243"/>
      <c r="B434" s="244"/>
      <c r="C434" s="247"/>
      <c r="D434" s="46" t="s">
        <v>45</v>
      </c>
      <c r="E434" s="52">
        <v>0.238</v>
      </c>
      <c r="F434" s="129"/>
      <c r="G434" s="129" t="str">
        <f>CONCATENATE(D434," - ",E434,", ")</f>
        <v>Misc. Copper scrap - 0.238, </v>
      </c>
      <c r="H434" s="142"/>
    </row>
    <row r="435" spans="1:8" ht="15" customHeight="1">
      <c r="A435" s="56"/>
      <c r="B435" s="72"/>
      <c r="C435" s="185"/>
      <c r="D435" s="46"/>
      <c r="E435" s="52"/>
      <c r="F435" s="129"/>
      <c r="G435" s="129"/>
      <c r="H435" s="142"/>
    </row>
    <row r="436" spans="1:8" ht="15" customHeight="1">
      <c r="A436" s="228"/>
      <c r="B436" s="229"/>
      <c r="C436" s="83"/>
      <c r="D436" s="83"/>
      <c r="E436" s="84">
        <f>SUM(E438:E439)</f>
        <v>2.408</v>
      </c>
      <c r="F436" s="129"/>
      <c r="G436" s="129"/>
      <c r="H436" s="142"/>
    </row>
    <row r="437" spans="1:18" ht="15" customHeight="1">
      <c r="A437" s="226" t="s">
        <v>5</v>
      </c>
      <c r="B437" s="226"/>
      <c r="C437" s="80" t="s">
        <v>17</v>
      </c>
      <c r="D437" s="81" t="s">
        <v>18</v>
      </c>
      <c r="E437" s="80" t="s">
        <v>7</v>
      </c>
      <c r="F437" s="129"/>
      <c r="G437" s="131" t="str">
        <f>CONCATENATE("Misc. Healthy parts/ Non Ferrous  Scrap, Lying at ",C438,". Quantity in MT - ")</f>
        <v>Misc. Healthy parts/ Non Ferrous  Scrap, Lying at TRY Ferozepur. Quantity in MT - </v>
      </c>
      <c r="H437" s="256" t="str">
        <f ca="1">CONCATENATE(G437,G438,(INDIRECT(I438)),(INDIRECT(J438)),(INDIRECT(K438)),(INDIRECT(L438)),(INDIRECT(M438)),(INDIRECT(N438)),(INDIRECT(O438)),(INDIRECT(P438)),(INDIRECT(Q438)),(INDIRECT(R438)),".")</f>
        <v>Misc. Healthy parts/ Non Ferrous  Scrap, Lying at TRY Ferozepur. Quantity in MT - Brass scrap - 2.09, Misc. Alumn. Scrap - 0.318, .</v>
      </c>
      <c r="I437" s="138" t="str">
        <f aca="true" ca="1" t="array" ref="I437">CELL("address",INDEX(G437:G459,MATCH(TRUE,ISBLANK(G437:G459),0)))</f>
        <v>$G$440</v>
      </c>
      <c r="J437" s="138">
        <f aca="true" t="array" ref="J437">MATCH(TRUE,ISBLANK(G437:G459),0)</f>
        <v>4</v>
      </c>
      <c r="K437" s="138">
        <f>J437-3</f>
        <v>1</v>
      </c>
      <c r="L437" s="138"/>
      <c r="M437" s="138"/>
      <c r="N437" s="138"/>
      <c r="O437" s="138"/>
      <c r="P437" s="138"/>
      <c r="Q437" s="138"/>
      <c r="R437" s="138"/>
    </row>
    <row r="438" spans="1:18" ht="15" customHeight="1">
      <c r="A438" s="226" t="s">
        <v>38</v>
      </c>
      <c r="B438" s="226"/>
      <c r="C438" s="227" t="s">
        <v>42</v>
      </c>
      <c r="D438" s="51" t="s">
        <v>23</v>
      </c>
      <c r="E438" s="53">
        <v>2.09</v>
      </c>
      <c r="F438" s="129"/>
      <c r="G438" s="129" t="str">
        <f>CONCATENATE(D438," - ",E438,", ")</f>
        <v>Brass scrap - 2.09, </v>
      </c>
      <c r="H438" s="256"/>
      <c r="I438" s="138" t="str">
        <f ca="1">IF(J437&gt;=3,(MID(I437,2,1)&amp;MID(I437,4,4)-K437),CELL("address",Z438))</f>
        <v>G439</v>
      </c>
      <c r="J438" s="138" t="str">
        <f ca="1">IF(J437&gt;=4,(MID(I438,1,1)&amp;MID(I438,2,4)+1),CELL("address",AA438))</f>
        <v>G440</v>
      </c>
      <c r="K438" s="138" t="str">
        <f ca="1">IF(J437&gt;=5,(MID(J438,1,1)&amp;MID(J438,2,4)+1),CELL("address",AB438))</f>
        <v>$AB$438</v>
      </c>
      <c r="L438" s="138" t="str">
        <f ca="1">IF(J437&gt;=6,(MID(K438,1,1)&amp;MID(K438,2,4)+1),CELL("address",AC438))</f>
        <v>$AC$438</v>
      </c>
      <c r="M438" s="138" t="str">
        <f ca="1">IF(J437&gt;=7,(MID(L438,1,1)&amp;MID(L438,2,4)+1),CELL("address",AD438))</f>
        <v>$AD$438</v>
      </c>
      <c r="N438" s="138" t="str">
        <f ca="1">IF(J437&gt;=8,(MID(M438,1,1)&amp;MID(M438,2,4)+1),CELL("address",AE438))</f>
        <v>$AE$438</v>
      </c>
      <c r="O438" s="138" t="str">
        <f ca="1">IF(J437&gt;=9,(MID(N438,1,1)&amp;MID(N438,2,4)+1),CELL("address",AF438))</f>
        <v>$AF$438</v>
      </c>
      <c r="P438" s="138" t="str">
        <f ca="1">IF(J437&gt;=10,(MID(O438,1,1)&amp;MID(O438,2,4)+1),CELL("address",AG438))</f>
        <v>$AG$438</v>
      </c>
      <c r="Q438" s="138" t="str">
        <f ca="1">IF(J437&gt;=11,(MID(P438,1,1)&amp;MID(P438,2,4)+1),CELL("address",AH438))</f>
        <v>$AH$438</v>
      </c>
      <c r="R438" s="138" t="str">
        <f ca="1">IF(J437&gt;=12,(MID(Q438,1,1)&amp;MID(Q438,2,4)+1),CELL("address",AI438))</f>
        <v>$AI$438</v>
      </c>
    </row>
    <row r="439" spans="1:8" ht="15" customHeight="1">
      <c r="A439" s="226"/>
      <c r="B439" s="226"/>
      <c r="C439" s="227"/>
      <c r="D439" s="51" t="s">
        <v>31</v>
      </c>
      <c r="E439" s="53">
        <v>0.318</v>
      </c>
      <c r="F439" s="129"/>
      <c r="G439" s="129" t="str">
        <f>CONCATENATE(D439," - ",E439,", ")</f>
        <v>Misc. Alumn. Scrap - 0.318, </v>
      </c>
      <c r="H439" s="142"/>
    </row>
    <row r="440" spans="1:8" ht="15" customHeight="1">
      <c r="A440" s="233"/>
      <c r="B440" s="235"/>
      <c r="C440" s="179"/>
      <c r="D440" s="51"/>
      <c r="E440" s="53"/>
      <c r="F440" s="129"/>
      <c r="G440" s="129"/>
      <c r="H440" s="142"/>
    </row>
    <row r="441" spans="1:8" ht="15" customHeight="1">
      <c r="A441" s="228"/>
      <c r="B441" s="229"/>
      <c r="C441" s="83"/>
      <c r="D441" s="83"/>
      <c r="E441" s="84">
        <f>SUM(E443:E446)</f>
        <v>4.728999999999999</v>
      </c>
      <c r="F441" s="129"/>
      <c r="G441" s="129"/>
      <c r="H441" s="142"/>
    </row>
    <row r="442" spans="1:18" ht="15" customHeight="1">
      <c r="A442" s="233" t="s">
        <v>5</v>
      </c>
      <c r="B442" s="235"/>
      <c r="C442" s="80" t="s">
        <v>17</v>
      </c>
      <c r="D442" s="81" t="s">
        <v>18</v>
      </c>
      <c r="E442" s="80" t="s">
        <v>7</v>
      </c>
      <c r="F442" s="129"/>
      <c r="G442" s="131" t="str">
        <f>CONCATENATE("Misc. Healthy parts/ Non Ferrous  Scrap, Lying at ",C443,". Quantity in MT - ")</f>
        <v>Misc. Healthy parts/ Non Ferrous  Scrap, Lying at TRY Malerkotla. Quantity in MT - </v>
      </c>
      <c r="H442" s="256" t="str">
        <f ca="1">CONCATENATE(G442,G443,(INDIRECT(I443)),(INDIRECT(J443)),(INDIRECT(K443)),(INDIRECT(L443)),(INDIRECT(M443)),(INDIRECT(N443)),(INDIRECT(O443)),(INDIRECT(P443)),(INDIRECT(Q443)),(INDIRECT(R443)),".")</f>
        <v>Misc. Healthy parts/ Non Ferrous  Scrap, Lying at TRY Malerkotla. Quantity in MT - Brass scrap - 4.114, Misc. Aluminium scrap - 0.183, Burnt Aluminium scrap - 0.287, Burnt Cu scrap - 0.145, .</v>
      </c>
      <c r="I442" s="138" t="str">
        <f aca="true" ca="1" t="array" ref="I442">CELL("address",INDEX(G442:G464,MATCH(TRUE,ISBLANK(G442:G464),0)))</f>
        <v>$G$447</v>
      </c>
      <c r="J442" s="138">
        <f aca="true" t="array" ref="J442">MATCH(TRUE,ISBLANK(G442:G464),0)</f>
        <v>6</v>
      </c>
      <c r="K442" s="138">
        <f>J442-3</f>
        <v>3</v>
      </c>
      <c r="L442" s="138"/>
      <c r="M442" s="138"/>
      <c r="N442" s="138"/>
      <c r="O442" s="138"/>
      <c r="P442" s="138"/>
      <c r="Q442" s="138"/>
      <c r="R442" s="138"/>
    </row>
    <row r="443" spans="1:18" ht="15" customHeight="1">
      <c r="A443" s="226" t="s">
        <v>48</v>
      </c>
      <c r="B443" s="226"/>
      <c r="C443" s="227" t="s">
        <v>28</v>
      </c>
      <c r="D443" s="46" t="s">
        <v>23</v>
      </c>
      <c r="E443" s="52">
        <v>4.114</v>
      </c>
      <c r="F443" s="129"/>
      <c r="G443" s="129" t="str">
        <f>CONCATENATE(D443," - ",E443,", ")</f>
        <v>Brass scrap - 4.114, </v>
      </c>
      <c r="H443" s="256"/>
      <c r="I443" s="138" t="str">
        <f ca="1">IF(J442&gt;=3,(MID(I442,2,1)&amp;MID(I442,4,4)-K442),CELL("address",Z443))</f>
        <v>G444</v>
      </c>
      <c r="J443" s="138" t="str">
        <f ca="1">IF(J442&gt;=4,(MID(I443,1,1)&amp;MID(I443,2,4)+1),CELL("address",AA443))</f>
        <v>G445</v>
      </c>
      <c r="K443" s="138" t="str">
        <f ca="1">IF(J442&gt;=5,(MID(J443,1,1)&amp;MID(J443,2,4)+1),CELL("address",AB443))</f>
        <v>G446</v>
      </c>
      <c r="L443" s="138" t="str">
        <f ca="1">IF(J442&gt;=6,(MID(K443,1,1)&amp;MID(K443,2,4)+1),CELL("address",AC443))</f>
        <v>G447</v>
      </c>
      <c r="M443" s="138" t="str">
        <f ca="1">IF(J442&gt;=7,(MID(L443,1,1)&amp;MID(L443,2,4)+1),CELL("address",AD443))</f>
        <v>$AD$443</v>
      </c>
      <c r="N443" s="138" t="str">
        <f ca="1">IF(J442&gt;=8,(MID(M443,1,1)&amp;MID(M443,2,4)+1),CELL("address",AE443))</f>
        <v>$AE$443</v>
      </c>
      <c r="O443" s="138" t="str">
        <f ca="1">IF(J442&gt;=9,(MID(N443,1,1)&amp;MID(N443,2,4)+1),CELL("address",AF443))</f>
        <v>$AF$443</v>
      </c>
      <c r="P443" s="138" t="str">
        <f ca="1">IF(J442&gt;=10,(MID(O443,1,1)&amp;MID(O443,2,4)+1),CELL("address",AG443))</f>
        <v>$AG$443</v>
      </c>
      <c r="Q443" s="138" t="str">
        <f ca="1">IF(J442&gt;=11,(MID(P443,1,1)&amp;MID(P443,2,4)+1),CELL("address",AH443))</f>
        <v>$AH$443</v>
      </c>
      <c r="R443" s="138" t="str">
        <f ca="1">IF(J442&gt;=12,(MID(Q443,1,1)&amp;MID(Q443,2,4)+1),CELL("address",AI443))</f>
        <v>$AI$443</v>
      </c>
    </row>
    <row r="444" spans="1:8" ht="18" customHeight="1">
      <c r="A444" s="226"/>
      <c r="B444" s="226"/>
      <c r="C444" s="227"/>
      <c r="D444" s="46" t="s">
        <v>24</v>
      </c>
      <c r="E444" s="52">
        <v>0.183</v>
      </c>
      <c r="F444" s="129"/>
      <c r="G444" s="129" t="str">
        <f>CONCATENATE(D444," - ",E444,", ")</f>
        <v>Misc. Aluminium scrap - 0.183, </v>
      </c>
      <c r="H444" s="142"/>
    </row>
    <row r="445" spans="1:8" ht="19.5" customHeight="1">
      <c r="A445" s="226"/>
      <c r="B445" s="226"/>
      <c r="C445" s="227"/>
      <c r="D445" s="46" t="s">
        <v>41</v>
      </c>
      <c r="E445" s="52">
        <v>0.287</v>
      </c>
      <c r="F445" s="129"/>
      <c r="G445" s="129" t="str">
        <f>CONCATENATE(D445," - ",E445,", ")</f>
        <v>Burnt Aluminium scrap - 0.287, </v>
      </c>
      <c r="H445" s="142"/>
    </row>
    <row r="446" spans="1:8" ht="15" customHeight="1">
      <c r="A446" s="226"/>
      <c r="B446" s="226"/>
      <c r="C446" s="227"/>
      <c r="D446" s="46" t="s">
        <v>37</v>
      </c>
      <c r="E446" s="80">
        <v>0.145</v>
      </c>
      <c r="F446" s="129"/>
      <c r="G446" s="129" t="str">
        <f>CONCATENATE(D446," - ",E446,", ")</f>
        <v>Burnt Cu scrap - 0.145, </v>
      </c>
      <c r="H446" s="142"/>
    </row>
    <row r="447" spans="1:8" ht="15" customHeight="1">
      <c r="A447" s="45"/>
      <c r="B447" s="48"/>
      <c r="C447" s="179"/>
      <c r="D447" s="46"/>
      <c r="E447" s="80"/>
      <c r="F447" s="129"/>
      <c r="G447" s="129"/>
      <c r="H447" s="142"/>
    </row>
    <row r="448" spans="1:8" ht="15" customHeight="1">
      <c r="A448" s="228"/>
      <c r="B448" s="229"/>
      <c r="C448" s="83"/>
      <c r="D448" s="83"/>
      <c r="E448" s="84">
        <f>SUM(E450:E453)</f>
        <v>0.418</v>
      </c>
      <c r="F448" s="129"/>
      <c r="G448" s="129"/>
      <c r="H448" s="142"/>
    </row>
    <row r="449" spans="1:18" ht="15" customHeight="1">
      <c r="A449" s="226" t="s">
        <v>5</v>
      </c>
      <c r="B449" s="226"/>
      <c r="C449" s="80" t="s">
        <v>17</v>
      </c>
      <c r="D449" s="81" t="s">
        <v>18</v>
      </c>
      <c r="E449" s="80" t="s">
        <v>7</v>
      </c>
      <c r="F449" s="129"/>
      <c r="G449" s="131" t="str">
        <f>CONCATENATE("Misc. Healthy parts/ Non Ferrous  Scrap, Lying at ",C450,". Quantity in MT - ")</f>
        <v>Misc. Healthy parts/ Non Ferrous  Scrap, Lying at CS Mohali. Quantity in MT - </v>
      </c>
      <c r="H449" s="256" t="str">
        <f ca="1">CONCATENATE(G449,G450,(INDIRECT(I450)),(INDIRECT(J450)),(INDIRECT(K450)),(INDIRECT(L450)),(INDIRECT(M450)),(INDIRECT(N450)),(INDIRECT(O450)),(INDIRECT(P450)),(INDIRECT(Q450)),(INDIRECT(R450)),".")</f>
        <v>Misc. Healthy parts/ Non Ferrous  Scrap, Lying at CS Mohali. Quantity in MT - Misc. Copper scrap - 0.313, Burnt Cu scrap - 0.041, All Alumn. Conductor Scrap - 0.054, Brass scrap - 0.01, .</v>
      </c>
      <c r="I449" s="138" t="str">
        <f aca="true" ca="1" t="array" ref="I449">CELL("address",INDEX(G449:G471,MATCH(TRUE,ISBLANK(G449:G471),0)))</f>
        <v>$G$454</v>
      </c>
      <c r="J449" s="138">
        <f aca="true" t="array" ref="J449">MATCH(TRUE,ISBLANK(G449:G471),0)</f>
        <v>6</v>
      </c>
      <c r="K449" s="138">
        <f>J449-3</f>
        <v>3</v>
      </c>
      <c r="L449" s="138"/>
      <c r="M449" s="138"/>
      <c r="N449" s="138"/>
      <c r="O449" s="138"/>
      <c r="P449" s="138"/>
      <c r="Q449" s="138"/>
      <c r="R449" s="138"/>
    </row>
    <row r="450" spans="1:18" ht="15" customHeight="1">
      <c r="A450" s="226" t="s">
        <v>39</v>
      </c>
      <c r="B450" s="226"/>
      <c r="C450" s="227" t="s">
        <v>63</v>
      </c>
      <c r="D450" s="46" t="s">
        <v>45</v>
      </c>
      <c r="E450" s="52">
        <v>0.313</v>
      </c>
      <c r="F450" s="129"/>
      <c r="G450" s="129" t="str">
        <f>CONCATENATE(D450," - ",E450,", ")</f>
        <v>Misc. Copper scrap - 0.313, </v>
      </c>
      <c r="H450" s="256"/>
      <c r="I450" s="138" t="str">
        <f ca="1">IF(J449&gt;=3,(MID(I449,2,1)&amp;MID(I449,4,4)-K449),CELL("address",Z450))</f>
        <v>G451</v>
      </c>
      <c r="J450" s="138" t="str">
        <f ca="1">IF(J449&gt;=4,(MID(I450,1,1)&amp;MID(I450,2,4)+1),CELL("address",AA450))</f>
        <v>G452</v>
      </c>
      <c r="K450" s="138" t="str">
        <f ca="1">IF(J449&gt;=5,(MID(J450,1,1)&amp;MID(J450,2,4)+1),CELL("address",AB450))</f>
        <v>G453</v>
      </c>
      <c r="L450" s="138" t="str">
        <f ca="1">IF(J449&gt;=6,(MID(K450,1,1)&amp;MID(K450,2,4)+1),CELL("address",AC450))</f>
        <v>G454</v>
      </c>
      <c r="M450" s="138" t="str">
        <f ca="1">IF(J449&gt;=7,(MID(L450,1,1)&amp;MID(L450,2,4)+1),CELL("address",AD450))</f>
        <v>$AD$450</v>
      </c>
      <c r="N450" s="138" t="str">
        <f ca="1">IF(J449&gt;=8,(MID(M450,1,1)&amp;MID(M450,2,4)+1),CELL("address",AE450))</f>
        <v>$AE$450</v>
      </c>
      <c r="O450" s="138" t="str">
        <f ca="1">IF(J449&gt;=9,(MID(N450,1,1)&amp;MID(N450,2,4)+1),CELL("address",AF450))</f>
        <v>$AF$450</v>
      </c>
      <c r="P450" s="138" t="str">
        <f ca="1">IF(J449&gt;=10,(MID(O450,1,1)&amp;MID(O450,2,4)+1),CELL("address",AG450))</f>
        <v>$AG$450</v>
      </c>
      <c r="Q450" s="138" t="str">
        <f ca="1">IF(J449&gt;=11,(MID(P450,1,1)&amp;MID(P450,2,4)+1),CELL("address",AH450))</f>
        <v>$AH$450</v>
      </c>
      <c r="R450" s="138" t="str">
        <f ca="1">IF(J449&gt;=12,(MID(Q450,1,1)&amp;MID(Q450,2,4)+1),CELL("address",AI450))</f>
        <v>$AI$450</v>
      </c>
    </row>
    <row r="451" spans="1:8" ht="15" customHeight="1">
      <c r="A451" s="226"/>
      <c r="B451" s="226"/>
      <c r="C451" s="227"/>
      <c r="D451" s="45" t="s">
        <v>37</v>
      </c>
      <c r="E451" s="52">
        <v>0.041</v>
      </c>
      <c r="F451" s="129"/>
      <c r="G451" s="129" t="str">
        <f>CONCATENATE(D451," - ",E451,", ")</f>
        <v>Burnt Cu scrap - 0.041, </v>
      </c>
      <c r="H451" s="142"/>
    </row>
    <row r="452" spans="1:8" ht="15" customHeight="1">
      <c r="A452" s="226"/>
      <c r="B452" s="226"/>
      <c r="C452" s="227"/>
      <c r="D452" s="51" t="s">
        <v>32</v>
      </c>
      <c r="E452" s="52">
        <v>0.054</v>
      </c>
      <c r="F452" s="129"/>
      <c r="G452" s="129" t="str">
        <f>CONCATENATE(D452," - ",E452,", ")</f>
        <v>All Alumn. Conductor Scrap - 0.054, </v>
      </c>
      <c r="H452" s="142"/>
    </row>
    <row r="453" spans="1:8" ht="15" customHeight="1">
      <c r="A453" s="226"/>
      <c r="B453" s="226"/>
      <c r="C453" s="227"/>
      <c r="D453" s="46" t="s">
        <v>23</v>
      </c>
      <c r="E453" s="52">
        <v>0.01</v>
      </c>
      <c r="F453" s="129"/>
      <c r="G453" s="129" t="str">
        <f>CONCATENATE(D453," - ",E453,", ")</f>
        <v>Brass scrap - 0.01, </v>
      </c>
      <c r="H453" s="142"/>
    </row>
    <row r="454" spans="1:8" ht="15" customHeight="1">
      <c r="A454" s="45"/>
      <c r="B454" s="48"/>
      <c r="C454" s="179"/>
      <c r="D454" s="46"/>
      <c r="E454" s="52"/>
      <c r="F454" s="129"/>
      <c r="G454" s="129"/>
      <c r="H454" s="142"/>
    </row>
    <row r="455" spans="1:8" ht="15" customHeight="1">
      <c r="A455" s="233"/>
      <c r="B455" s="235"/>
      <c r="C455" s="179"/>
      <c r="D455" s="46"/>
      <c r="E455" s="84">
        <f>E457</f>
        <v>0.089</v>
      </c>
      <c r="F455" s="129"/>
      <c r="G455" s="129"/>
      <c r="H455" s="142"/>
    </row>
    <row r="456" spans="1:18" ht="15" customHeight="1">
      <c r="A456" s="226" t="s">
        <v>5</v>
      </c>
      <c r="B456" s="226"/>
      <c r="C456" s="80" t="s">
        <v>17</v>
      </c>
      <c r="D456" s="81" t="s">
        <v>18</v>
      </c>
      <c r="E456" s="80" t="s">
        <v>7</v>
      </c>
      <c r="F456" s="129"/>
      <c r="G456" s="131" t="str">
        <f>CONCATENATE("Misc. Healthy parts/ Non Ferrous  Scrap, Lying at ",C457,". Quantity in MT - ")</f>
        <v>Misc. Healthy parts/ Non Ferrous  Scrap, Lying at OL store Nabha. Quantity in MT - </v>
      </c>
      <c r="H456" s="256" t="str">
        <f ca="1">CONCATENATE(G456,G457,(INDIRECT(I457)),(INDIRECT(J457)),(INDIRECT(K457)),(INDIRECT(L457)),(INDIRECT(M457)),(INDIRECT(N457)),(INDIRECT(O457)),(INDIRECT(P457)),(INDIRECT(Q457)),(INDIRECT(R457)),".")</f>
        <v>Misc. Healthy parts/ Non Ferrous  Scrap, Lying at OL store Nabha. Quantity in MT - Misc. Copper scrap - 0.089, .</v>
      </c>
      <c r="I456" s="138" t="str">
        <f aca="true" ca="1" t="array" ref="I456">CELL("address",INDEX(G456:G478,MATCH(TRUE,ISBLANK(G456:G478),0)))</f>
        <v>$G$458</v>
      </c>
      <c r="J456" s="138">
        <f aca="true" t="array" ref="J456">MATCH(TRUE,ISBLANK(G456:G478),0)</f>
        <v>3</v>
      </c>
      <c r="K456" s="138">
        <f>J456-3</f>
        <v>0</v>
      </c>
      <c r="L456" s="138"/>
      <c r="M456" s="138"/>
      <c r="N456" s="138"/>
      <c r="O456" s="138"/>
      <c r="P456" s="138"/>
      <c r="Q456" s="138"/>
      <c r="R456" s="138"/>
    </row>
    <row r="457" spans="1:18" ht="15" customHeight="1">
      <c r="A457" s="226" t="s">
        <v>40</v>
      </c>
      <c r="B457" s="226"/>
      <c r="C457" s="179" t="s">
        <v>104</v>
      </c>
      <c r="D457" s="46" t="s">
        <v>45</v>
      </c>
      <c r="E457" s="52">
        <v>0.089</v>
      </c>
      <c r="F457" s="129"/>
      <c r="G457" s="129" t="str">
        <f>CONCATENATE(D457," - ",E457,", ")</f>
        <v>Misc. Copper scrap - 0.089, </v>
      </c>
      <c r="H457" s="256"/>
      <c r="I457" s="138" t="str">
        <f ca="1">IF(J456&gt;=3,(MID(I456,2,1)&amp;MID(I456,4,4)-K456),CELL("address",Z457))</f>
        <v>G458</v>
      </c>
      <c r="J457" s="138" t="str">
        <f ca="1">IF(J456&gt;=4,(MID(I457,1,1)&amp;MID(I457,2,4)+1),CELL("address",AA457))</f>
        <v>$AA$457</v>
      </c>
      <c r="K457" s="138" t="str">
        <f ca="1">IF(J456&gt;=5,(MID(J457,1,1)&amp;MID(J457,2,4)+1),CELL("address",AB457))</f>
        <v>$AB$457</v>
      </c>
      <c r="L457" s="138" t="str">
        <f ca="1">IF(J456&gt;=6,(MID(K457,1,1)&amp;MID(K457,2,4)+1),CELL("address",AC457))</f>
        <v>$AC$457</v>
      </c>
      <c r="M457" s="138" t="str">
        <f ca="1">IF(J456&gt;=7,(MID(L457,1,1)&amp;MID(L457,2,4)+1),CELL("address",AD457))</f>
        <v>$AD$457</v>
      </c>
      <c r="N457" s="138" t="str">
        <f ca="1">IF(J456&gt;=8,(MID(M457,1,1)&amp;MID(M457,2,4)+1),CELL("address",AE457))</f>
        <v>$AE$457</v>
      </c>
      <c r="O457" s="138" t="str">
        <f ca="1">IF(J456&gt;=9,(MID(N457,1,1)&amp;MID(N457,2,4)+1),CELL("address",AF457))</f>
        <v>$AF$457</v>
      </c>
      <c r="P457" s="138" t="str">
        <f ca="1">IF(J456&gt;=10,(MID(O457,1,1)&amp;MID(O457,2,4)+1),CELL("address",AG457))</f>
        <v>$AG$457</v>
      </c>
      <c r="Q457" s="138" t="str">
        <f ca="1">IF(J456&gt;=11,(MID(P457,1,1)&amp;MID(P457,2,4)+1),CELL("address",AH457))</f>
        <v>$AH$457</v>
      </c>
      <c r="R457" s="138" t="str">
        <f ca="1">IF(J456&gt;=12,(MID(Q457,1,1)&amp;MID(Q457,2,4)+1),CELL("address",AI457))</f>
        <v>$AI$457</v>
      </c>
    </row>
    <row r="458" spans="1:8" ht="15" customHeight="1">
      <c r="A458" s="45"/>
      <c r="B458" s="48"/>
      <c r="C458" s="179"/>
      <c r="D458" s="46"/>
      <c r="E458" s="52"/>
      <c r="F458" s="129"/>
      <c r="G458" s="129"/>
      <c r="H458" s="142"/>
    </row>
    <row r="459" spans="1:8" ht="15" customHeight="1">
      <c r="A459" s="233"/>
      <c r="B459" s="235"/>
      <c r="C459" s="179"/>
      <c r="D459" s="46"/>
      <c r="E459" s="84">
        <f>E461</f>
        <v>0.092</v>
      </c>
      <c r="F459" s="129"/>
      <c r="G459" s="129"/>
      <c r="H459" s="142"/>
    </row>
    <row r="460" spans="1:18" ht="15" customHeight="1">
      <c r="A460" s="226" t="s">
        <v>5</v>
      </c>
      <c r="B460" s="226"/>
      <c r="C460" s="80" t="s">
        <v>17</v>
      </c>
      <c r="D460" s="81" t="s">
        <v>18</v>
      </c>
      <c r="E460" s="80" t="s">
        <v>7</v>
      </c>
      <c r="F460" s="129"/>
      <c r="G460" s="131" t="str">
        <f>CONCATENATE("Misc. Healthy parts/ Non Ferrous  Scrap, Lying at ",C461,". Quantity in MT - ")</f>
        <v>Misc. Healthy parts/ Non Ferrous  Scrap, Lying at OL store Patran. Quantity in MT - </v>
      </c>
      <c r="H460" s="256" t="str">
        <f ca="1">CONCATENATE(G460,G461,(INDIRECT(I461)),(INDIRECT(J461)),(INDIRECT(K461)),(INDIRECT(L461)),(INDIRECT(M461)),(INDIRECT(N461)),(INDIRECT(O461)),(INDIRECT(P461)),(INDIRECT(Q461)),(INDIRECT(R461)),".")</f>
        <v>Misc. Healthy parts/ Non Ferrous  Scrap, Lying at OL store Patran. Quantity in MT - Misc. Copper scrap - 0.092, .</v>
      </c>
      <c r="I460" s="138" t="str">
        <f aca="true" ca="1" t="array" ref="I460">CELL("address",INDEX(G460:G482,MATCH(TRUE,ISBLANK(G460:G482),0)))</f>
        <v>$G$462</v>
      </c>
      <c r="J460" s="138">
        <f aca="true" t="array" ref="J460">MATCH(TRUE,ISBLANK(G460:G482),0)</f>
        <v>3</v>
      </c>
      <c r="K460" s="138">
        <f>J460-3</f>
        <v>0</v>
      </c>
      <c r="L460" s="138"/>
      <c r="M460" s="138"/>
      <c r="N460" s="138"/>
      <c r="O460" s="138"/>
      <c r="P460" s="138"/>
      <c r="Q460" s="138"/>
      <c r="R460" s="138"/>
    </row>
    <row r="461" spans="1:18" ht="15" customHeight="1">
      <c r="A461" s="226" t="s">
        <v>81</v>
      </c>
      <c r="B461" s="226"/>
      <c r="C461" s="179" t="s">
        <v>102</v>
      </c>
      <c r="D461" s="46" t="s">
        <v>45</v>
      </c>
      <c r="E461" s="52">
        <v>0.092</v>
      </c>
      <c r="F461" s="129"/>
      <c r="G461" s="129" t="str">
        <f>CONCATENATE(D461," - ",E461,", ")</f>
        <v>Misc. Copper scrap - 0.092, </v>
      </c>
      <c r="H461" s="256"/>
      <c r="I461" s="138" t="str">
        <f ca="1">IF(J460&gt;=3,(MID(I460,2,1)&amp;MID(I460,4,4)-K460),CELL("address",Z461))</f>
        <v>G462</v>
      </c>
      <c r="J461" s="138" t="str">
        <f ca="1">IF(J460&gt;=4,(MID(I461,1,1)&amp;MID(I461,2,4)+1),CELL("address",AA461))</f>
        <v>$AA$461</v>
      </c>
      <c r="K461" s="138" t="str">
        <f ca="1">IF(J460&gt;=5,(MID(J461,1,1)&amp;MID(J461,2,4)+1),CELL("address",AB461))</f>
        <v>$AB$461</v>
      </c>
      <c r="L461" s="138" t="str">
        <f ca="1">IF(J460&gt;=6,(MID(K461,1,1)&amp;MID(K461,2,4)+1),CELL("address",AC461))</f>
        <v>$AC$461</v>
      </c>
      <c r="M461" s="138" t="str">
        <f ca="1">IF(J460&gt;=7,(MID(L461,1,1)&amp;MID(L461,2,4)+1),CELL("address",AD461))</f>
        <v>$AD$461</v>
      </c>
      <c r="N461" s="138" t="str">
        <f ca="1">IF(J460&gt;=8,(MID(M461,1,1)&amp;MID(M461,2,4)+1),CELL("address",AE461))</f>
        <v>$AE$461</v>
      </c>
      <c r="O461" s="138" t="str">
        <f ca="1">IF(J460&gt;=9,(MID(N461,1,1)&amp;MID(N461,2,4)+1),CELL("address",AF461))</f>
        <v>$AF$461</v>
      </c>
      <c r="P461" s="138" t="str">
        <f ca="1">IF(J460&gt;=10,(MID(O461,1,1)&amp;MID(O461,2,4)+1),CELL("address",AG461))</f>
        <v>$AG$461</v>
      </c>
      <c r="Q461" s="138" t="str">
        <f ca="1">IF(J460&gt;=11,(MID(P461,1,1)&amp;MID(P461,2,4)+1),CELL("address",AH461))</f>
        <v>$AH$461</v>
      </c>
      <c r="R461" s="138" t="str">
        <f ca="1">IF(J460&gt;=12,(MID(Q461,1,1)&amp;MID(Q461,2,4)+1),CELL("address",AI461))</f>
        <v>$AI$461</v>
      </c>
    </row>
    <row r="462" spans="1:8" ht="15" customHeight="1">
      <c r="A462" s="56"/>
      <c r="B462" s="72"/>
      <c r="C462" s="185"/>
      <c r="D462" s="46"/>
      <c r="E462" s="52"/>
      <c r="F462" s="129"/>
      <c r="G462" s="129"/>
      <c r="H462" s="142"/>
    </row>
    <row r="463" spans="1:8" ht="15" customHeight="1">
      <c r="A463" s="56"/>
      <c r="B463" s="72"/>
      <c r="C463" s="185"/>
      <c r="D463" s="51"/>
      <c r="E463" s="84">
        <f>SUM(E465:E467)</f>
        <v>0.30300000000000005</v>
      </c>
      <c r="F463" s="129"/>
      <c r="G463" s="129"/>
      <c r="H463" s="142"/>
    </row>
    <row r="464" spans="1:18" ht="15" customHeight="1">
      <c r="A464" s="226" t="s">
        <v>5</v>
      </c>
      <c r="B464" s="226"/>
      <c r="C464" s="80" t="s">
        <v>17</v>
      </c>
      <c r="D464" s="81" t="s">
        <v>18</v>
      </c>
      <c r="E464" s="80" t="s">
        <v>7</v>
      </c>
      <c r="F464" s="129"/>
      <c r="G464" s="131" t="str">
        <f>CONCATENATE("Misc. Healthy parts/ Non Ferrous  Scrap, Lying at ",C465,". Quantity in MT - ")</f>
        <v>Misc. Healthy parts/ Non Ferrous  Scrap, Lying at CS Patiala. Quantity in MT - </v>
      </c>
      <c r="H464" s="256" t="str">
        <f ca="1">CONCATENATE(G464,G465,(INDIRECT(I465)),(INDIRECT(J465)),(INDIRECT(K465)),(INDIRECT(L465)),(INDIRECT(M465)),(INDIRECT(N465)),(INDIRECT(O465)),(INDIRECT(P465)),(INDIRECT(Q465)),(INDIRECT(R465)),".")</f>
        <v>Misc. Healthy parts/ Non Ferrous  Scrap, Lying at CS Patiala. Quantity in MT - Misc. Alumn. Scrap - 0.063, Misc. copper scrap - 0.218, Burnt copper scrap - 0.022, .</v>
      </c>
      <c r="I464" s="138" t="str">
        <f aca="true" ca="1" t="array" ref="I464">CELL("address",INDEX(G464:G486,MATCH(TRUE,ISBLANK(G464:G486),0)))</f>
        <v>$G$468</v>
      </c>
      <c r="J464" s="138">
        <f aca="true" t="array" ref="J464">MATCH(TRUE,ISBLANK(G464:G486),0)</f>
        <v>5</v>
      </c>
      <c r="K464" s="138">
        <f>J464-3</f>
        <v>2</v>
      </c>
      <c r="L464" s="138"/>
      <c r="M464" s="138"/>
      <c r="N464" s="138"/>
      <c r="O464" s="138"/>
      <c r="P464" s="138"/>
      <c r="Q464" s="138"/>
      <c r="R464" s="138"/>
    </row>
    <row r="465" spans="1:18" ht="15" customHeight="1">
      <c r="A465" s="239" t="s">
        <v>52</v>
      </c>
      <c r="B465" s="240"/>
      <c r="C465" s="245" t="s">
        <v>53</v>
      </c>
      <c r="D465" s="74" t="s">
        <v>31</v>
      </c>
      <c r="E465" s="53">
        <v>0.063</v>
      </c>
      <c r="F465" s="129"/>
      <c r="G465" s="129" t="str">
        <f>CONCATENATE(D465," - ",E465,", ")</f>
        <v>Misc. Alumn. Scrap - 0.063, </v>
      </c>
      <c r="H465" s="256"/>
      <c r="I465" s="138" t="str">
        <f ca="1">IF(J464&gt;=3,(MID(I464,2,1)&amp;MID(I464,4,4)-K464),CELL("address",Z465))</f>
        <v>G466</v>
      </c>
      <c r="J465" s="138" t="str">
        <f ca="1">IF(J464&gt;=4,(MID(I465,1,1)&amp;MID(I465,2,4)+1),CELL("address",AA465))</f>
        <v>G467</v>
      </c>
      <c r="K465" s="138" t="str">
        <f ca="1">IF(J464&gt;=5,(MID(J465,1,1)&amp;MID(J465,2,4)+1),CELL("address",AB465))</f>
        <v>G468</v>
      </c>
      <c r="L465" s="138" t="str">
        <f ca="1">IF(J464&gt;=6,(MID(K465,1,1)&amp;MID(K465,2,4)+1),CELL("address",AC465))</f>
        <v>$AC$465</v>
      </c>
      <c r="M465" s="138" t="str">
        <f ca="1">IF(J464&gt;=7,(MID(L465,1,1)&amp;MID(L465,2,4)+1),CELL("address",AD465))</f>
        <v>$AD$465</v>
      </c>
      <c r="N465" s="138" t="str">
        <f ca="1">IF(J464&gt;=8,(MID(M465,1,1)&amp;MID(M465,2,4)+1),CELL("address",AE465))</f>
        <v>$AE$465</v>
      </c>
      <c r="O465" s="138" t="str">
        <f ca="1">IF(J464&gt;=9,(MID(N465,1,1)&amp;MID(N465,2,4)+1),CELL("address",AF465))</f>
        <v>$AF$465</v>
      </c>
      <c r="P465" s="138" t="str">
        <f ca="1">IF(J464&gt;=10,(MID(O465,1,1)&amp;MID(O465,2,4)+1),CELL("address",AG465))</f>
        <v>$AG$465</v>
      </c>
      <c r="Q465" s="138" t="str">
        <f ca="1">IF(J464&gt;=11,(MID(P465,1,1)&amp;MID(P465,2,4)+1),CELL("address",AH465))</f>
        <v>$AH$465</v>
      </c>
      <c r="R465" s="138" t="str">
        <f ca="1">IF(J464&gt;=12,(MID(Q465,1,1)&amp;MID(Q465,2,4)+1),CELL("address",AI465))</f>
        <v>$AI$465</v>
      </c>
    </row>
    <row r="466" spans="1:8" ht="15" customHeight="1">
      <c r="A466" s="241"/>
      <c r="B466" s="242"/>
      <c r="C466" s="246"/>
      <c r="D466" s="74" t="s">
        <v>113</v>
      </c>
      <c r="E466" s="80">
        <v>0.218</v>
      </c>
      <c r="F466" s="129"/>
      <c r="G466" s="129" t="str">
        <f>CONCATENATE(D466," - ",E466,", ")</f>
        <v>Misc. copper scrap - 0.218, </v>
      </c>
      <c r="H466" s="142"/>
    </row>
    <row r="467" spans="1:8" ht="15" customHeight="1">
      <c r="A467" s="243"/>
      <c r="B467" s="244"/>
      <c r="C467" s="247"/>
      <c r="D467" s="74" t="s">
        <v>47</v>
      </c>
      <c r="E467" s="80">
        <v>0.022</v>
      </c>
      <c r="F467" s="129"/>
      <c r="G467" s="129" t="str">
        <f>CONCATENATE(D467," - ",E467,", ")</f>
        <v>Burnt copper scrap - 0.022, </v>
      </c>
      <c r="H467" s="142"/>
    </row>
    <row r="468" spans="1:8" ht="15" customHeight="1">
      <c r="A468" s="233"/>
      <c r="B468" s="235"/>
      <c r="C468" s="179"/>
      <c r="D468" s="74"/>
      <c r="E468" s="80"/>
      <c r="F468" s="129"/>
      <c r="G468" s="129"/>
      <c r="H468" s="142"/>
    </row>
    <row r="469" spans="1:8" ht="15" customHeight="1">
      <c r="A469" s="228"/>
      <c r="B469" s="229"/>
      <c r="C469" s="83"/>
      <c r="D469" s="83"/>
      <c r="E469" s="84">
        <f>SUM(E471:E475)</f>
        <v>4.696000000000001</v>
      </c>
      <c r="F469" s="129"/>
      <c r="G469" s="129"/>
      <c r="H469" s="142"/>
    </row>
    <row r="470" spans="1:18" ht="15" customHeight="1">
      <c r="A470" s="239" t="s">
        <v>5</v>
      </c>
      <c r="B470" s="240"/>
      <c r="C470" s="80" t="s">
        <v>17</v>
      </c>
      <c r="D470" s="81" t="s">
        <v>18</v>
      </c>
      <c r="E470" s="85" t="s">
        <v>7</v>
      </c>
      <c r="F470" s="129"/>
      <c r="G470" s="131" t="str">
        <f>CONCATENATE("Misc. Healthy parts/ Non Ferrous  Scrap, Lying at ",C471,". Quantity in MT - ")</f>
        <v>Misc. Healthy parts/ Non Ferrous  Scrap, Lying at CS Kotkapura. Quantity in MT - </v>
      </c>
      <c r="H470" s="256" t="str">
        <f ca="1">CONCATENATE(G470,G471,(INDIRECT(I471)),(INDIRECT(J471)),(INDIRECT(K471)),(INDIRECT(L471)),(INDIRECT(M471)),(INDIRECT(N471)),(INDIRECT(O471)),(INDIRECT(P471)),(INDIRECT(Q471)),(INDIRECT(R471)),".")</f>
        <v>Misc. Healthy parts/ Non Ferrous  Scrap, Lying at CS Kotkapura. Quantity in MT - Brass scrap - 4.046, Misc. Copper scrap - 0.065, Burnt Cu scrap - 0.325, Misc. Aluminium scrap - 0.205, Burnt Aluminium scrap - 0.055, .</v>
      </c>
      <c r="I470" s="138" t="str">
        <f aca="true" ca="1" t="array" ref="I470">CELL("address",INDEX(G470:G492,MATCH(TRUE,ISBLANK(G470:G492),0)))</f>
        <v>$G$476</v>
      </c>
      <c r="J470" s="138">
        <f aca="true" t="array" ref="J470">MATCH(TRUE,ISBLANK(G470:G492),0)</f>
        <v>7</v>
      </c>
      <c r="K470" s="138">
        <f>J470-3</f>
        <v>4</v>
      </c>
      <c r="L470" s="138"/>
      <c r="M470" s="138"/>
      <c r="N470" s="138"/>
      <c r="O470" s="138"/>
      <c r="P470" s="138"/>
      <c r="Q470" s="138"/>
      <c r="R470" s="138"/>
    </row>
    <row r="471" spans="1:18" ht="15" customHeight="1">
      <c r="A471" s="239" t="s">
        <v>44</v>
      </c>
      <c r="B471" s="240"/>
      <c r="C471" s="245" t="s">
        <v>43</v>
      </c>
      <c r="D471" s="46" t="s">
        <v>23</v>
      </c>
      <c r="E471" s="86">
        <v>4.046</v>
      </c>
      <c r="F471" s="129"/>
      <c r="G471" s="129" t="str">
        <f>CONCATENATE(D471," - ",E471,", ")</f>
        <v>Brass scrap - 4.046, </v>
      </c>
      <c r="H471" s="256"/>
      <c r="I471" s="138" t="str">
        <f ca="1">IF(J470&gt;=3,(MID(I470,2,1)&amp;MID(I470,4,4)-K470),CELL("address",Z471))</f>
        <v>G472</v>
      </c>
      <c r="J471" s="138" t="str">
        <f ca="1">IF(J470&gt;=4,(MID(I471,1,1)&amp;MID(I471,2,4)+1),CELL("address",AA471))</f>
        <v>G473</v>
      </c>
      <c r="K471" s="138" t="str">
        <f ca="1">IF(J470&gt;=5,(MID(J471,1,1)&amp;MID(J471,2,4)+1),CELL("address",AB471))</f>
        <v>G474</v>
      </c>
      <c r="L471" s="138" t="str">
        <f ca="1">IF(J470&gt;=6,(MID(K471,1,1)&amp;MID(K471,2,4)+1),CELL("address",AC471))</f>
        <v>G475</v>
      </c>
      <c r="M471" s="138" t="str">
        <f ca="1">IF(J470&gt;=7,(MID(L471,1,1)&amp;MID(L471,2,4)+1),CELL("address",AD471))</f>
        <v>G476</v>
      </c>
      <c r="N471" s="138" t="str">
        <f ca="1">IF(J470&gt;=8,(MID(M471,1,1)&amp;MID(M471,2,4)+1),CELL("address",AE471))</f>
        <v>$AE$471</v>
      </c>
      <c r="O471" s="138" t="str">
        <f ca="1">IF(J470&gt;=9,(MID(N471,1,1)&amp;MID(N471,2,4)+1),CELL("address",AF471))</f>
        <v>$AF$471</v>
      </c>
      <c r="P471" s="138" t="str">
        <f ca="1">IF(J470&gt;=10,(MID(O471,1,1)&amp;MID(O471,2,4)+1),CELL("address",AG471))</f>
        <v>$AG$471</v>
      </c>
      <c r="Q471" s="138" t="str">
        <f ca="1">IF(J470&gt;=11,(MID(P471,1,1)&amp;MID(P471,2,4)+1),CELL("address",AH471))</f>
        <v>$AH$471</v>
      </c>
      <c r="R471" s="138" t="str">
        <f ca="1">IF(J470&gt;=12,(MID(Q471,1,1)&amp;MID(Q471,2,4)+1),CELL("address",AI471))</f>
        <v>$AI$471</v>
      </c>
    </row>
    <row r="472" spans="1:8" ht="15" customHeight="1">
      <c r="A472" s="241"/>
      <c r="B472" s="242"/>
      <c r="C472" s="246"/>
      <c r="D472" s="46" t="s">
        <v>45</v>
      </c>
      <c r="E472" s="86">
        <v>0.065</v>
      </c>
      <c r="F472" s="129"/>
      <c r="G472" s="129" t="str">
        <f>CONCATENATE(D472," - ",E472,", ")</f>
        <v>Misc. Copper scrap - 0.065, </v>
      </c>
      <c r="H472" s="142"/>
    </row>
    <row r="473" spans="1:8" ht="15" customHeight="1">
      <c r="A473" s="241"/>
      <c r="B473" s="242"/>
      <c r="C473" s="246"/>
      <c r="D473" s="45" t="s">
        <v>37</v>
      </c>
      <c r="E473" s="86">
        <v>0.325</v>
      </c>
      <c r="F473" s="129"/>
      <c r="G473" s="129" t="str">
        <f>CONCATENATE(D473," - ",E473,", ")</f>
        <v>Burnt Cu scrap - 0.325, </v>
      </c>
      <c r="H473" s="142"/>
    </row>
    <row r="474" spans="1:8" ht="15" customHeight="1">
      <c r="A474" s="241"/>
      <c r="B474" s="242"/>
      <c r="C474" s="246"/>
      <c r="D474" s="46" t="s">
        <v>24</v>
      </c>
      <c r="E474" s="86">
        <v>0.205</v>
      </c>
      <c r="F474" s="129"/>
      <c r="G474" s="129" t="str">
        <f>CONCATENATE(D474," - ",E474,", ")</f>
        <v>Misc. Aluminium scrap - 0.205, </v>
      </c>
      <c r="H474" s="142"/>
    </row>
    <row r="475" spans="1:8" ht="15" customHeight="1">
      <c r="A475" s="243"/>
      <c r="B475" s="244"/>
      <c r="C475" s="247"/>
      <c r="D475" s="45" t="s">
        <v>41</v>
      </c>
      <c r="E475" s="86">
        <v>0.055</v>
      </c>
      <c r="F475" s="129"/>
      <c r="G475" s="129" t="str">
        <f>CONCATENATE(D475," - ",E475,", ")</f>
        <v>Burnt Aluminium scrap - 0.055, </v>
      </c>
      <c r="H475" s="142"/>
    </row>
    <row r="476" spans="1:8" ht="15" customHeight="1">
      <c r="A476" s="56"/>
      <c r="B476" s="72"/>
      <c r="C476" s="185"/>
      <c r="D476" s="45"/>
      <c r="E476" s="86"/>
      <c r="F476" s="129"/>
      <c r="G476" s="129"/>
      <c r="H476" s="142"/>
    </row>
    <row r="477" spans="1:8" ht="15" customHeight="1">
      <c r="A477" s="56"/>
      <c r="B477" s="72"/>
      <c r="C477" s="185"/>
      <c r="D477" s="51"/>
      <c r="E477" s="84">
        <f>SUM(E479:E480)</f>
        <v>0.228</v>
      </c>
      <c r="F477" s="129"/>
      <c r="G477" s="129"/>
      <c r="H477" s="142"/>
    </row>
    <row r="478" spans="1:18" ht="15" customHeight="1">
      <c r="A478" s="226" t="s">
        <v>5</v>
      </c>
      <c r="B478" s="226"/>
      <c r="C478" s="80" t="s">
        <v>17</v>
      </c>
      <c r="D478" s="81" t="s">
        <v>18</v>
      </c>
      <c r="E478" s="80" t="s">
        <v>7</v>
      </c>
      <c r="F478" s="129"/>
      <c r="G478" s="131" t="str">
        <f>CONCATENATE("Misc. Healthy parts/ Non Ferrous  Scrap, Lying at ",C479,". Quantity in MT - ")</f>
        <v>Misc. Healthy parts/ Non Ferrous  Scrap, Lying at OL store Malerkotla. Quantity in MT - </v>
      </c>
      <c r="H478" s="256" t="str">
        <f ca="1">CONCATENATE(G478,G479,(INDIRECT(I479)),(INDIRECT(J479)),(INDIRECT(K479)),(INDIRECT(L479)),(INDIRECT(M479)),(INDIRECT(N479)),(INDIRECT(O479)),(INDIRECT(P479)),(INDIRECT(Q479)),(INDIRECT(R479)),".")</f>
        <v>Misc. Healthy parts/ Non Ferrous  Scrap, Lying at OL store Malerkotla. Quantity in MT - Misc. Alumn. Scrap - 0.028, Misc. copper scrap - 0.2, .</v>
      </c>
      <c r="I478" s="138" t="str">
        <f aca="true" ca="1" t="array" ref="I478">CELL("address",INDEX(G478:G500,MATCH(TRUE,ISBLANK(G478:G500),0)))</f>
        <v>$G$481</v>
      </c>
      <c r="J478" s="138">
        <f aca="true" t="array" ref="J478">MATCH(TRUE,ISBLANK(G478:G500),0)</f>
        <v>4</v>
      </c>
      <c r="K478" s="138">
        <f>J478-3</f>
        <v>1</v>
      </c>
      <c r="L478" s="138"/>
      <c r="M478" s="138"/>
      <c r="N478" s="138"/>
      <c r="O478" s="138"/>
      <c r="P478" s="138"/>
      <c r="Q478" s="138"/>
      <c r="R478" s="138"/>
    </row>
    <row r="479" spans="1:18" ht="15" customHeight="1">
      <c r="A479" s="239" t="s">
        <v>54</v>
      </c>
      <c r="B479" s="240"/>
      <c r="C479" s="245" t="s">
        <v>118</v>
      </c>
      <c r="D479" s="74" t="s">
        <v>31</v>
      </c>
      <c r="E479" s="53">
        <v>0.028</v>
      </c>
      <c r="F479" s="129"/>
      <c r="G479" s="129" t="str">
        <f>CONCATENATE(D479," - ",E479,", ")</f>
        <v>Misc. Alumn. Scrap - 0.028, </v>
      </c>
      <c r="H479" s="256"/>
      <c r="I479" s="138" t="str">
        <f ca="1">IF(J478&gt;=3,(MID(I478,2,1)&amp;MID(I478,4,4)-K478),CELL("address",Z479))</f>
        <v>G480</v>
      </c>
      <c r="J479" s="138" t="str">
        <f ca="1">IF(J478&gt;=4,(MID(I479,1,1)&amp;MID(I479,2,4)+1),CELL("address",AA479))</f>
        <v>G481</v>
      </c>
      <c r="K479" s="138" t="str">
        <f ca="1">IF(J478&gt;=5,(MID(J479,1,1)&amp;MID(J479,2,4)+1),CELL("address",AB479))</f>
        <v>$AB$479</v>
      </c>
      <c r="L479" s="138" t="str">
        <f ca="1">IF(J478&gt;=6,(MID(K479,1,1)&amp;MID(K479,2,4)+1),CELL("address",AC479))</f>
        <v>$AC$479</v>
      </c>
      <c r="M479" s="138" t="str">
        <f ca="1">IF(J478&gt;=7,(MID(L479,1,1)&amp;MID(L479,2,4)+1),CELL("address",AD479))</f>
        <v>$AD$479</v>
      </c>
      <c r="N479" s="138" t="str">
        <f ca="1">IF(J478&gt;=8,(MID(M479,1,1)&amp;MID(M479,2,4)+1),CELL("address",AE479))</f>
        <v>$AE$479</v>
      </c>
      <c r="O479" s="138" t="str">
        <f ca="1">IF(J478&gt;=9,(MID(N479,1,1)&amp;MID(N479,2,4)+1),CELL("address",AF479))</f>
        <v>$AF$479</v>
      </c>
      <c r="P479" s="138" t="str">
        <f ca="1">IF(J478&gt;=10,(MID(O479,1,1)&amp;MID(O479,2,4)+1),CELL("address",AG479))</f>
        <v>$AG$479</v>
      </c>
      <c r="Q479" s="138" t="str">
        <f ca="1">IF(J478&gt;=11,(MID(P479,1,1)&amp;MID(P479,2,4)+1),CELL("address",AH479))</f>
        <v>$AH$479</v>
      </c>
      <c r="R479" s="138" t="str">
        <f ca="1">IF(J478&gt;=12,(MID(Q479,1,1)&amp;MID(Q479,2,4)+1),CELL("address",AI479))</f>
        <v>$AI$479</v>
      </c>
    </row>
    <row r="480" spans="1:8" ht="15" customHeight="1">
      <c r="A480" s="243"/>
      <c r="B480" s="244"/>
      <c r="C480" s="247"/>
      <c r="D480" s="74" t="s">
        <v>113</v>
      </c>
      <c r="E480" s="80">
        <v>0.2</v>
      </c>
      <c r="F480" s="129"/>
      <c r="G480" s="129" t="str">
        <f>CONCATENATE(D480," - ",E480,", ")</f>
        <v>Misc. copper scrap - 0.2, </v>
      </c>
      <c r="H480" s="142"/>
    </row>
    <row r="481" spans="1:8" ht="15" customHeight="1">
      <c r="A481" s="233"/>
      <c r="B481" s="235"/>
      <c r="C481" s="179"/>
      <c r="D481" s="74"/>
      <c r="E481" s="80"/>
      <c r="F481" s="129"/>
      <c r="G481" s="129"/>
      <c r="H481" s="142"/>
    </row>
    <row r="482" spans="1:8" ht="15" customHeight="1">
      <c r="A482" s="228"/>
      <c r="B482" s="229"/>
      <c r="C482" s="83"/>
      <c r="D482" s="83"/>
      <c r="E482" s="84">
        <f>SUM(E484:E485)</f>
        <v>0.066</v>
      </c>
      <c r="F482" s="129"/>
      <c r="G482" s="129"/>
      <c r="H482" s="142"/>
    </row>
    <row r="483" spans="1:18" ht="15" customHeight="1">
      <c r="A483" s="226" t="s">
        <v>5</v>
      </c>
      <c r="B483" s="226"/>
      <c r="C483" s="80" t="s">
        <v>17</v>
      </c>
      <c r="D483" s="81" t="s">
        <v>18</v>
      </c>
      <c r="E483" s="80" t="s">
        <v>7</v>
      </c>
      <c r="F483" s="129"/>
      <c r="G483" s="131" t="str">
        <f>CONCATENATE("Misc. Healthy parts/ Non Ferrous  Scrap, Lying at ",C484,". Quantity in MT - ")</f>
        <v>Misc. Healthy parts/ Non Ferrous  Scrap, Lying at TRY Malerkotla. Quantity in MT - </v>
      </c>
      <c r="H483" s="256" t="str">
        <f ca="1">CONCATENATE(G483,G484,(INDIRECT(I484)),(INDIRECT(J484)),(INDIRECT(K484)),(INDIRECT(L484)),(INDIRECT(M484)),(INDIRECT(N484)),(INDIRECT(O484)),(INDIRECT(P484)),(INDIRECT(Q484)),(INDIRECT(R484)),".")</f>
        <v>Misc. Healthy parts/ Non Ferrous  Scrap, Lying at TRY Malerkotla. Quantity in MT - Brass scrap - 0.061, Misc. Alumn. Scrap - 0.005, .</v>
      </c>
      <c r="I483" s="138" t="str">
        <f aca="true" ca="1" t="array" ref="I483">CELL("address",INDEX(G483:G505,MATCH(TRUE,ISBLANK(G483:G505),0)))</f>
        <v>$G$486</v>
      </c>
      <c r="J483" s="138">
        <f aca="true" t="array" ref="J483">MATCH(TRUE,ISBLANK(G483:G505),0)</f>
        <v>4</v>
      </c>
      <c r="K483" s="138">
        <f>J483-3</f>
        <v>1</v>
      </c>
      <c r="L483" s="138"/>
      <c r="M483" s="138"/>
      <c r="N483" s="138"/>
      <c r="O483" s="138"/>
      <c r="P483" s="138"/>
      <c r="Q483" s="138"/>
      <c r="R483" s="138"/>
    </row>
    <row r="484" spans="1:18" ht="15" customHeight="1">
      <c r="A484" s="226" t="s">
        <v>117</v>
      </c>
      <c r="B484" s="226"/>
      <c r="C484" s="227" t="s">
        <v>28</v>
      </c>
      <c r="D484" s="51" t="s">
        <v>23</v>
      </c>
      <c r="E484" s="51">
        <v>0.061</v>
      </c>
      <c r="F484" s="129"/>
      <c r="G484" s="129" t="str">
        <f>CONCATENATE(D484," - ",E484,", ")</f>
        <v>Brass scrap - 0.061, </v>
      </c>
      <c r="H484" s="256"/>
      <c r="I484" s="138" t="str">
        <f ca="1">IF(J483&gt;=3,(MID(I483,2,1)&amp;MID(I483,4,4)-K483),CELL("address",Z484))</f>
        <v>G485</v>
      </c>
      <c r="J484" s="138" t="str">
        <f ca="1">IF(J483&gt;=4,(MID(I484,1,1)&amp;MID(I484,2,4)+1),CELL("address",AA484))</f>
        <v>G486</v>
      </c>
      <c r="K484" s="138" t="str">
        <f ca="1">IF(J483&gt;=5,(MID(J484,1,1)&amp;MID(J484,2,4)+1),CELL("address",AB484))</f>
        <v>$AB$484</v>
      </c>
      <c r="L484" s="138" t="str">
        <f ca="1">IF(J483&gt;=6,(MID(K484,1,1)&amp;MID(K484,2,4)+1),CELL("address",AC484))</f>
        <v>$AC$484</v>
      </c>
      <c r="M484" s="138" t="str">
        <f ca="1">IF(J483&gt;=7,(MID(L484,1,1)&amp;MID(L484,2,4)+1),CELL("address",AD484))</f>
        <v>$AD$484</v>
      </c>
      <c r="N484" s="138" t="str">
        <f ca="1">IF(J483&gt;=8,(MID(M484,1,1)&amp;MID(M484,2,4)+1),CELL("address",AE484))</f>
        <v>$AE$484</v>
      </c>
      <c r="O484" s="138" t="str">
        <f ca="1">IF(J483&gt;=9,(MID(N484,1,1)&amp;MID(N484,2,4)+1),CELL("address",AF484))</f>
        <v>$AF$484</v>
      </c>
      <c r="P484" s="138" t="str">
        <f ca="1">IF(J483&gt;=10,(MID(O484,1,1)&amp;MID(O484,2,4)+1),CELL("address",AG484))</f>
        <v>$AG$484</v>
      </c>
      <c r="Q484" s="138" t="str">
        <f ca="1">IF(J483&gt;=11,(MID(P484,1,1)&amp;MID(P484,2,4)+1),CELL("address",AH484))</f>
        <v>$AH$484</v>
      </c>
      <c r="R484" s="138" t="str">
        <f ca="1">IF(J483&gt;=12,(MID(Q484,1,1)&amp;MID(Q484,2,4)+1),CELL("address",AI484))</f>
        <v>$AI$484</v>
      </c>
    </row>
    <row r="485" spans="1:8" ht="15" customHeight="1">
      <c r="A485" s="226"/>
      <c r="B485" s="226"/>
      <c r="C485" s="227"/>
      <c r="D485" s="51" t="s">
        <v>31</v>
      </c>
      <c r="E485" s="80">
        <v>0.005</v>
      </c>
      <c r="F485" s="129"/>
      <c r="G485" s="129" t="str">
        <f>CONCATENATE(D485," - ",E485,", ")</f>
        <v>Misc. Alumn. Scrap - 0.005, </v>
      </c>
      <c r="H485" s="142"/>
    </row>
    <row r="486" spans="1:8" ht="15" customHeight="1">
      <c r="A486" s="233"/>
      <c r="B486" s="235"/>
      <c r="C486" s="179"/>
      <c r="D486" s="51"/>
      <c r="E486" s="80"/>
      <c r="F486" s="129"/>
      <c r="G486" s="129"/>
      <c r="H486" s="142"/>
    </row>
    <row r="487" spans="1:8" ht="15" customHeight="1">
      <c r="A487" s="228"/>
      <c r="B487" s="229"/>
      <c r="C487" s="83"/>
      <c r="D487" s="83"/>
      <c r="E487" s="84">
        <f>SUM(E489:E492)</f>
        <v>0.20400000000000001</v>
      </c>
      <c r="F487" s="129"/>
      <c r="G487" s="129"/>
      <c r="H487" s="142"/>
    </row>
    <row r="488" spans="1:18" ht="15" customHeight="1">
      <c r="A488" s="233" t="s">
        <v>5</v>
      </c>
      <c r="B488" s="235"/>
      <c r="C488" s="80" t="s">
        <v>17</v>
      </c>
      <c r="D488" s="81" t="s">
        <v>18</v>
      </c>
      <c r="E488" s="80" t="s">
        <v>7</v>
      </c>
      <c r="F488" s="129"/>
      <c r="G488" s="131" t="str">
        <f>CONCATENATE("Misc. Healthy parts/ Non Ferrous  Scrap, Lying at ",C489,". Quantity in MT - ")</f>
        <v>Misc. Healthy parts/ Non Ferrous  Scrap, Lying at TRY Patran. Quantity in MT - </v>
      </c>
      <c r="H488" s="256" t="str">
        <f ca="1">CONCATENATE(G488,G489,(INDIRECT(I489)),(INDIRECT(J489)),(INDIRECT(K489)),(INDIRECT(L489)),(INDIRECT(M489)),(INDIRECT(N489)),(INDIRECT(O489)),(INDIRECT(P489)),(INDIRECT(Q489)),(INDIRECT(R489)),".")</f>
        <v>Misc. Healthy parts/ Non Ferrous  Scrap, Lying at TRY Patran. Quantity in MT - Brass scrap - 0.091, Misc. Aluminium scrap - 0.009, Burnt Cu scrap - 0.004, Ms Nuts &amp; Bolts - 0.1, .</v>
      </c>
      <c r="I488" s="138" t="str">
        <f aca="true" ca="1" t="array" ref="I488">CELL("address",INDEX(G488:G510,MATCH(TRUE,ISBLANK(G488:G510),0)))</f>
        <v>$G$493</v>
      </c>
      <c r="J488" s="138">
        <f aca="true" t="array" ref="J488">MATCH(TRUE,ISBLANK(G488:G510),0)</f>
        <v>6</v>
      </c>
      <c r="K488" s="138">
        <f>J488-3</f>
        <v>3</v>
      </c>
      <c r="L488" s="138"/>
      <c r="M488" s="138"/>
      <c r="N488" s="138"/>
      <c r="O488" s="138"/>
      <c r="P488" s="138"/>
      <c r="Q488" s="138"/>
      <c r="R488" s="138"/>
    </row>
    <row r="489" spans="1:18" ht="15" customHeight="1">
      <c r="A489" s="239" t="s">
        <v>119</v>
      </c>
      <c r="B489" s="240"/>
      <c r="C489" s="245" t="s">
        <v>137</v>
      </c>
      <c r="D489" s="46" t="s">
        <v>23</v>
      </c>
      <c r="E489" s="52">
        <v>0.091</v>
      </c>
      <c r="F489" s="129"/>
      <c r="G489" s="129" t="str">
        <f>CONCATENATE(D489," - ",E489,", ")</f>
        <v>Brass scrap - 0.091, </v>
      </c>
      <c r="H489" s="256"/>
      <c r="I489" s="138" t="str">
        <f ca="1">IF(J488&gt;=3,(MID(I488,2,1)&amp;MID(I488,4,4)-K488),CELL("address",Z489))</f>
        <v>G490</v>
      </c>
      <c r="J489" s="138" t="str">
        <f ca="1">IF(J488&gt;=4,(MID(I489,1,1)&amp;MID(I489,2,4)+1),CELL("address",AA489))</f>
        <v>G491</v>
      </c>
      <c r="K489" s="138" t="str">
        <f ca="1">IF(J488&gt;=5,(MID(J489,1,1)&amp;MID(J489,2,4)+1),CELL("address",AB489))</f>
        <v>G492</v>
      </c>
      <c r="L489" s="138" t="str">
        <f ca="1">IF(J488&gt;=6,(MID(K489,1,1)&amp;MID(K489,2,4)+1),CELL("address",AC489))</f>
        <v>G493</v>
      </c>
      <c r="M489" s="138" t="str">
        <f ca="1">IF(J488&gt;=7,(MID(L489,1,1)&amp;MID(L489,2,4)+1),CELL("address",AD489))</f>
        <v>$AD$489</v>
      </c>
      <c r="N489" s="138" t="str">
        <f ca="1">IF(J488&gt;=8,(MID(M489,1,1)&amp;MID(M489,2,4)+1),CELL("address",AE489))</f>
        <v>$AE$489</v>
      </c>
      <c r="O489" s="138" t="str">
        <f ca="1">IF(J488&gt;=9,(MID(N489,1,1)&amp;MID(N489,2,4)+1),CELL("address",AF489))</f>
        <v>$AF$489</v>
      </c>
      <c r="P489" s="138" t="str">
        <f ca="1">IF(J488&gt;=10,(MID(O489,1,1)&amp;MID(O489,2,4)+1),CELL("address",AG489))</f>
        <v>$AG$489</v>
      </c>
      <c r="Q489" s="138" t="str">
        <f ca="1">IF(J488&gt;=11,(MID(P489,1,1)&amp;MID(P489,2,4)+1),CELL("address",AH489))</f>
        <v>$AH$489</v>
      </c>
      <c r="R489" s="138" t="str">
        <f ca="1">IF(J488&gt;=12,(MID(Q489,1,1)&amp;MID(Q489,2,4)+1),CELL("address",AI489))</f>
        <v>$AI$489</v>
      </c>
    </row>
    <row r="490" spans="1:8" ht="15" customHeight="1">
      <c r="A490" s="241"/>
      <c r="B490" s="242"/>
      <c r="C490" s="246"/>
      <c r="D490" s="46" t="s">
        <v>24</v>
      </c>
      <c r="E490" s="52">
        <v>0.009</v>
      </c>
      <c r="F490" s="129"/>
      <c r="G490" s="129" t="str">
        <f>CONCATENATE(D490," - ",E490,", ")</f>
        <v>Misc. Aluminium scrap - 0.009, </v>
      </c>
      <c r="H490" s="142"/>
    </row>
    <row r="491" spans="1:8" ht="15" customHeight="1">
      <c r="A491" s="241"/>
      <c r="B491" s="242"/>
      <c r="C491" s="246"/>
      <c r="D491" s="46" t="s">
        <v>37</v>
      </c>
      <c r="E491" s="52">
        <v>0.004</v>
      </c>
      <c r="F491" s="129"/>
      <c r="G491" s="129" t="str">
        <f>CONCATENATE(D491," - ",E491,", ")</f>
        <v>Burnt Cu scrap - 0.004, </v>
      </c>
      <c r="H491" s="142"/>
    </row>
    <row r="492" spans="1:8" ht="15" customHeight="1">
      <c r="A492" s="243"/>
      <c r="B492" s="244"/>
      <c r="C492" s="247"/>
      <c r="D492" s="51" t="s">
        <v>143</v>
      </c>
      <c r="E492" s="52">
        <v>0.1</v>
      </c>
      <c r="F492" s="129"/>
      <c r="G492" s="129" t="str">
        <f>CONCATENATE(D492," - ",E492,", ")</f>
        <v>Ms Nuts &amp; Bolts - 0.1, </v>
      </c>
      <c r="H492" s="142"/>
    </row>
    <row r="493" spans="1:8" ht="15" customHeight="1">
      <c r="A493" s="56"/>
      <c r="B493" s="72"/>
      <c r="C493" s="185"/>
      <c r="D493" s="51"/>
      <c r="E493" s="52"/>
      <c r="F493" s="129"/>
      <c r="G493" s="129"/>
      <c r="H493" s="142"/>
    </row>
    <row r="494" spans="1:8" ht="15" customHeight="1">
      <c r="A494" s="228"/>
      <c r="B494" s="229"/>
      <c r="C494" s="83"/>
      <c r="D494" s="83"/>
      <c r="E494" s="84">
        <f>SUM(E496:E497)</f>
        <v>0.132</v>
      </c>
      <c r="F494" s="129"/>
      <c r="G494" s="129"/>
      <c r="H494" s="142"/>
    </row>
    <row r="495" spans="1:18" ht="15" customHeight="1">
      <c r="A495" s="226" t="s">
        <v>5</v>
      </c>
      <c r="B495" s="226"/>
      <c r="C495" s="80" t="s">
        <v>17</v>
      </c>
      <c r="D495" s="81" t="s">
        <v>18</v>
      </c>
      <c r="E495" s="80" t="s">
        <v>7</v>
      </c>
      <c r="F495" s="129"/>
      <c r="G495" s="131" t="str">
        <f>CONCATENATE("Misc. Healthy parts/ Non Ferrous  Scrap, Lying at ",C496,". Quantity in MT - ")</f>
        <v>Misc. Healthy parts/ Non Ferrous  Scrap, Lying at TRY Patran. Quantity in MT - </v>
      </c>
      <c r="H495" s="256" t="str">
        <f ca="1">CONCATENATE(G495,G496,(INDIRECT(I496)),(INDIRECT(J496)),(INDIRECT(K496)),(INDIRECT(L496)),(INDIRECT(M496)),(INDIRECT(N496)),(INDIRECT(O496)),(INDIRECT(P496)),(INDIRECT(Q496)),(INDIRECT(R496)),".")</f>
        <v>Misc. Healthy parts/ Non Ferrous  Scrap, Lying at TRY Patran. Quantity in MT - Brass scrap - 0.124, Misc. Alumn. Scrap - 0.008, .</v>
      </c>
      <c r="I495" s="138" t="str">
        <f aca="true" ca="1" t="array" ref="I495">CELL("address",INDEX(G495:G517,MATCH(TRUE,ISBLANK(G495:G517),0)))</f>
        <v>$G$498</v>
      </c>
      <c r="J495" s="138">
        <f aca="true" t="array" ref="J495">MATCH(TRUE,ISBLANK(G495:G517),0)</f>
        <v>4</v>
      </c>
      <c r="K495" s="138">
        <f>J495-3</f>
        <v>1</v>
      </c>
      <c r="L495" s="138"/>
      <c r="M495" s="138"/>
      <c r="N495" s="138"/>
      <c r="O495" s="138"/>
      <c r="P495" s="138"/>
      <c r="Q495" s="138"/>
      <c r="R495" s="138"/>
    </row>
    <row r="496" spans="1:18" ht="15" customHeight="1">
      <c r="A496" s="226" t="s">
        <v>120</v>
      </c>
      <c r="B496" s="226"/>
      <c r="C496" s="227" t="s">
        <v>137</v>
      </c>
      <c r="D496" s="51" t="s">
        <v>23</v>
      </c>
      <c r="E496" s="51">
        <v>0.124</v>
      </c>
      <c r="F496" s="129"/>
      <c r="G496" s="129" t="str">
        <f>CONCATENATE(D496," - ",E496,", ")</f>
        <v>Brass scrap - 0.124, </v>
      </c>
      <c r="H496" s="256"/>
      <c r="I496" s="138" t="str">
        <f ca="1">IF(J495&gt;=3,(MID(I495,2,1)&amp;MID(I495,4,4)-K495),CELL("address",Z496))</f>
        <v>G497</v>
      </c>
      <c r="J496" s="138" t="str">
        <f ca="1">IF(J495&gt;=4,(MID(I496,1,1)&amp;MID(I496,2,4)+1),CELL("address",AA496))</f>
        <v>G498</v>
      </c>
      <c r="K496" s="138" t="str">
        <f ca="1">IF(J495&gt;=5,(MID(J496,1,1)&amp;MID(J496,2,4)+1),CELL("address",AB496))</f>
        <v>$AB$496</v>
      </c>
      <c r="L496" s="138" t="str">
        <f ca="1">IF(J495&gt;=6,(MID(K496,1,1)&amp;MID(K496,2,4)+1),CELL("address",AC496))</f>
        <v>$AC$496</v>
      </c>
      <c r="M496" s="138" t="str">
        <f ca="1">IF(J495&gt;=7,(MID(L496,1,1)&amp;MID(L496,2,4)+1),CELL("address",AD496))</f>
        <v>$AD$496</v>
      </c>
      <c r="N496" s="138" t="str">
        <f ca="1">IF(J495&gt;=8,(MID(M496,1,1)&amp;MID(M496,2,4)+1),CELL("address",AE496))</f>
        <v>$AE$496</v>
      </c>
      <c r="O496" s="138" t="str">
        <f ca="1">IF(J495&gt;=9,(MID(N496,1,1)&amp;MID(N496,2,4)+1),CELL("address",AF496))</f>
        <v>$AF$496</v>
      </c>
      <c r="P496" s="138" t="str">
        <f ca="1">IF(J495&gt;=10,(MID(O496,1,1)&amp;MID(O496,2,4)+1),CELL("address",AG496))</f>
        <v>$AG$496</v>
      </c>
      <c r="Q496" s="138" t="str">
        <f ca="1">IF(J495&gt;=11,(MID(P496,1,1)&amp;MID(P496,2,4)+1),CELL("address",AH496))</f>
        <v>$AH$496</v>
      </c>
      <c r="R496" s="138" t="str">
        <f ca="1">IF(J495&gt;=12,(MID(Q496,1,1)&amp;MID(Q496,2,4)+1),CELL("address",AI496))</f>
        <v>$AI$496</v>
      </c>
    </row>
    <row r="497" spans="1:8" ht="15" customHeight="1">
      <c r="A497" s="226"/>
      <c r="B497" s="226"/>
      <c r="C497" s="227"/>
      <c r="D497" s="51" t="s">
        <v>31</v>
      </c>
      <c r="E497" s="80">
        <v>0.008</v>
      </c>
      <c r="F497" s="129"/>
      <c r="G497" s="129" t="str">
        <f>CONCATENATE(D497," - ",E497,", ")</f>
        <v>Misc. Alumn. Scrap - 0.008, </v>
      </c>
      <c r="H497" s="142"/>
    </row>
    <row r="498" spans="1:8" ht="15" customHeight="1">
      <c r="A498" s="41"/>
      <c r="F498" s="129"/>
      <c r="G498" s="129"/>
      <c r="H498" s="142"/>
    </row>
    <row r="499" spans="1:8" ht="15" customHeight="1">
      <c r="A499" s="228"/>
      <c r="B499" s="229"/>
      <c r="C499" s="83"/>
      <c r="D499" s="83"/>
      <c r="E499" s="84">
        <f>SUM(E501:E502)</f>
        <v>2.17</v>
      </c>
      <c r="F499" s="129"/>
      <c r="G499" s="129"/>
      <c r="H499" s="142"/>
    </row>
    <row r="500" spans="1:18" ht="15" customHeight="1">
      <c r="A500" s="226" t="s">
        <v>5</v>
      </c>
      <c r="B500" s="226"/>
      <c r="C500" s="80" t="s">
        <v>17</v>
      </c>
      <c r="D500" s="81" t="s">
        <v>18</v>
      </c>
      <c r="E500" s="80" t="s">
        <v>7</v>
      </c>
      <c r="F500" s="129"/>
      <c r="G500" s="131" t="str">
        <f>CONCATENATE("Misc. Healthy parts/ Non Ferrous  Scrap, Lying at ",C501,". Quantity in MT - ")</f>
        <v>Misc. Healthy parts/ Non Ferrous  Scrap, Lying at TRY Ropar. Quantity in MT - </v>
      </c>
      <c r="H500" s="256" t="str">
        <f ca="1">CONCATENATE(G500,G501,(INDIRECT(I501)),(INDIRECT(J501)),(INDIRECT(K501)),(INDIRECT(L501)),(INDIRECT(M501)),(INDIRECT(N501)),(INDIRECT(O501)),(INDIRECT(P501)),(INDIRECT(Q501)),(INDIRECT(R501)),".")</f>
        <v>Misc. Healthy parts/ Non Ferrous  Scrap, Lying at TRY Ropar. Quantity in MT - Brass scrap - 2.007, Misc. Alumn. Scrap - 0.163, .</v>
      </c>
      <c r="I500" s="138" t="str">
        <f aca="true" ca="1" t="array" ref="I500">CELL("address",INDEX(G500:G522,MATCH(TRUE,ISBLANK(G500:G522),0)))</f>
        <v>$G$503</v>
      </c>
      <c r="J500" s="138">
        <f aca="true" t="array" ref="J500">MATCH(TRUE,ISBLANK(G500:G522),0)</f>
        <v>4</v>
      </c>
      <c r="K500" s="138">
        <f>J500-3</f>
        <v>1</v>
      </c>
      <c r="L500" s="138"/>
      <c r="M500" s="138"/>
      <c r="N500" s="138"/>
      <c r="O500" s="138"/>
      <c r="P500" s="138"/>
      <c r="Q500" s="138"/>
      <c r="R500" s="138"/>
    </row>
    <row r="501" spans="1:18" ht="15" customHeight="1">
      <c r="A501" s="226" t="s">
        <v>127</v>
      </c>
      <c r="B501" s="226"/>
      <c r="C501" s="227" t="s">
        <v>140</v>
      </c>
      <c r="D501" s="51" t="s">
        <v>23</v>
      </c>
      <c r="E501" s="51">
        <v>2.007</v>
      </c>
      <c r="F501" s="129"/>
      <c r="G501" s="129" t="str">
        <f>CONCATENATE(D501," - ",E501,", ")</f>
        <v>Brass scrap - 2.007, </v>
      </c>
      <c r="H501" s="256"/>
      <c r="I501" s="138" t="str">
        <f ca="1">IF(J500&gt;=3,(MID(I500,2,1)&amp;MID(I500,4,4)-K500),CELL("address",Z501))</f>
        <v>G502</v>
      </c>
      <c r="J501" s="138" t="str">
        <f ca="1">IF(J500&gt;=4,(MID(I501,1,1)&amp;MID(I501,2,4)+1),CELL("address",AA501))</f>
        <v>G503</v>
      </c>
      <c r="K501" s="138" t="str">
        <f ca="1">IF(J500&gt;=5,(MID(J501,1,1)&amp;MID(J501,2,4)+1),CELL("address",AB501))</f>
        <v>$AB$501</v>
      </c>
      <c r="L501" s="138" t="str">
        <f ca="1">IF(J500&gt;=6,(MID(K501,1,1)&amp;MID(K501,2,4)+1),CELL("address",AC501))</f>
        <v>$AC$501</v>
      </c>
      <c r="M501" s="138" t="str">
        <f ca="1">IF(J500&gt;=7,(MID(L501,1,1)&amp;MID(L501,2,4)+1),CELL("address",AD501))</f>
        <v>$AD$501</v>
      </c>
      <c r="N501" s="138" t="str">
        <f ca="1">IF(J500&gt;=8,(MID(M501,1,1)&amp;MID(M501,2,4)+1),CELL("address",AE501))</f>
        <v>$AE$501</v>
      </c>
      <c r="O501" s="138" t="str">
        <f ca="1">IF(J500&gt;=9,(MID(N501,1,1)&amp;MID(N501,2,4)+1),CELL("address",AF501))</f>
        <v>$AF$501</v>
      </c>
      <c r="P501" s="138" t="str">
        <f ca="1">IF(J500&gt;=10,(MID(O501,1,1)&amp;MID(O501,2,4)+1),CELL("address",AG501))</f>
        <v>$AG$501</v>
      </c>
      <c r="Q501" s="138" t="str">
        <f ca="1">IF(J500&gt;=11,(MID(P501,1,1)&amp;MID(P501,2,4)+1),CELL("address",AH501))</f>
        <v>$AH$501</v>
      </c>
      <c r="R501" s="138" t="str">
        <f ca="1">IF(J500&gt;=12,(MID(Q501,1,1)&amp;MID(Q501,2,4)+1),CELL("address",AI501))</f>
        <v>$AI$501</v>
      </c>
    </row>
    <row r="502" spans="1:8" ht="15" customHeight="1">
      <c r="A502" s="226"/>
      <c r="B502" s="226"/>
      <c r="C502" s="227"/>
      <c r="D502" s="51" t="s">
        <v>31</v>
      </c>
      <c r="E502" s="80">
        <v>0.163</v>
      </c>
      <c r="F502" s="129"/>
      <c r="G502" s="129" t="str">
        <f>CONCATENATE(D502," - ",E502,", ")</f>
        <v>Misc. Alumn. Scrap - 0.163, </v>
      </c>
      <c r="H502" s="142"/>
    </row>
    <row r="503" spans="1:8" ht="15" customHeight="1">
      <c r="A503" s="58"/>
      <c r="B503" s="61"/>
      <c r="C503" s="22"/>
      <c r="D503" s="107"/>
      <c r="E503" s="106"/>
      <c r="F503" s="129"/>
      <c r="G503" s="129"/>
      <c r="H503" s="142"/>
    </row>
    <row r="504" spans="1:8" ht="15" customHeight="1">
      <c r="A504" s="228"/>
      <c r="B504" s="229"/>
      <c r="C504" s="83"/>
      <c r="D504" s="83"/>
      <c r="E504" s="84">
        <f>SUM(E506:E510)</f>
        <v>1.1320000000000001</v>
      </c>
      <c r="F504" s="129"/>
      <c r="G504" s="129"/>
      <c r="H504" s="142"/>
    </row>
    <row r="505" spans="1:18" ht="15" customHeight="1">
      <c r="A505" s="226" t="s">
        <v>5</v>
      </c>
      <c r="B505" s="226"/>
      <c r="C505" s="80" t="s">
        <v>17</v>
      </c>
      <c r="D505" s="81" t="s">
        <v>18</v>
      </c>
      <c r="E505" s="80" t="s">
        <v>7</v>
      </c>
      <c r="F505" s="129"/>
      <c r="G505" s="131" t="str">
        <f>CONCATENATE("Misc. Healthy parts/ Non Ferrous  Scrap, Lying at ",C506,". Quantity in MT - ")</f>
        <v>Misc. Healthy parts/ Non Ferrous  Scrap, Lying at TRY Patiala. Quantity in MT - </v>
      </c>
      <c r="H505" s="256" t="str">
        <f ca="1">CONCATENATE(G505,G506,(INDIRECT(I506)),(INDIRECT(J506)),(INDIRECT(K506)),(INDIRECT(L506)),(INDIRECT(M506)),(INDIRECT(N506)),(INDIRECT(O506)),(INDIRECT(P506)),(INDIRECT(Q506)),(INDIRECT(R506)),".")</f>
        <v>Misc. Healthy parts/ Non Ferrous  Scrap, Lying at TRY Patiala. Quantity in MT - Brass scrap - 0.46, Misc. Alumn. Scrap - 0.043, Burnt Cu scrap - 0.033, Nuts &amp; Bolts scrap - 0.52, Teen Patra scrap - 0.076, .</v>
      </c>
      <c r="I505" s="138" t="str">
        <f aca="true" ca="1" t="array" ref="I505">CELL("address",INDEX(G505:G527,MATCH(TRUE,ISBLANK(G505:G527),0)))</f>
        <v>$G$511</v>
      </c>
      <c r="J505" s="138">
        <f aca="true" t="array" ref="J505">MATCH(TRUE,ISBLANK(G505:G527),0)</f>
        <v>7</v>
      </c>
      <c r="K505" s="138">
        <f>J505-3</f>
        <v>4</v>
      </c>
      <c r="L505" s="138"/>
      <c r="M505" s="138"/>
      <c r="N505" s="138"/>
      <c r="O505" s="138"/>
      <c r="P505" s="138"/>
      <c r="Q505" s="138"/>
      <c r="R505" s="138"/>
    </row>
    <row r="506" spans="1:18" ht="15" customHeight="1">
      <c r="A506" s="226" t="s">
        <v>134</v>
      </c>
      <c r="B506" s="226"/>
      <c r="C506" s="227" t="s">
        <v>122</v>
      </c>
      <c r="D506" s="51" t="s">
        <v>23</v>
      </c>
      <c r="E506" s="53">
        <v>0.46</v>
      </c>
      <c r="F506" s="129"/>
      <c r="G506" s="129" t="str">
        <f>CONCATENATE(D506," - ",E506,", ")</f>
        <v>Brass scrap - 0.46, </v>
      </c>
      <c r="H506" s="256"/>
      <c r="I506" s="138" t="str">
        <f ca="1">IF(J505&gt;=3,(MID(I505,2,1)&amp;MID(I505,4,4)-K505),CELL("address",Z506))</f>
        <v>G507</v>
      </c>
      <c r="J506" s="138" t="str">
        <f ca="1">IF(J505&gt;=4,(MID(I506,1,1)&amp;MID(I506,2,4)+1),CELL("address",AA506))</f>
        <v>G508</v>
      </c>
      <c r="K506" s="138" t="str">
        <f ca="1">IF(J505&gt;=5,(MID(J506,1,1)&amp;MID(J506,2,4)+1),CELL("address",AB506))</f>
        <v>G509</v>
      </c>
      <c r="L506" s="138" t="str">
        <f ca="1">IF(J505&gt;=6,(MID(K506,1,1)&amp;MID(K506,2,4)+1),CELL("address",AC506))</f>
        <v>G510</v>
      </c>
      <c r="M506" s="138" t="str">
        <f ca="1">IF(J505&gt;=7,(MID(L506,1,1)&amp;MID(L506,2,4)+1),CELL("address",AD506))</f>
        <v>G511</v>
      </c>
      <c r="N506" s="138" t="str">
        <f ca="1">IF(J505&gt;=8,(MID(M506,1,1)&amp;MID(M506,2,4)+1),CELL("address",AE506))</f>
        <v>$AE$506</v>
      </c>
      <c r="O506" s="138" t="str">
        <f ca="1">IF(J505&gt;=9,(MID(N506,1,1)&amp;MID(N506,2,4)+1),CELL("address",AF506))</f>
        <v>$AF$506</v>
      </c>
      <c r="P506" s="138" t="str">
        <f ca="1">IF(J505&gt;=10,(MID(O506,1,1)&amp;MID(O506,2,4)+1),CELL("address",AG506))</f>
        <v>$AG$506</v>
      </c>
      <c r="Q506" s="138" t="str">
        <f ca="1">IF(J505&gt;=11,(MID(P506,1,1)&amp;MID(P506,2,4)+1),CELL("address",AH506))</f>
        <v>$AH$506</v>
      </c>
      <c r="R506" s="138" t="str">
        <f ca="1">IF(J505&gt;=12,(MID(Q506,1,1)&amp;MID(Q506,2,4)+1),CELL("address",AI506))</f>
        <v>$AI$506</v>
      </c>
    </row>
    <row r="507" spans="1:8" ht="15" customHeight="1">
      <c r="A507" s="226"/>
      <c r="B507" s="226"/>
      <c r="C507" s="227"/>
      <c r="D507" s="51" t="s">
        <v>31</v>
      </c>
      <c r="E507" s="92">
        <v>0.043</v>
      </c>
      <c r="F507" s="129"/>
      <c r="G507" s="129" t="str">
        <f>CONCATENATE(D507," - ",E507,", ")</f>
        <v>Misc. Alumn. Scrap - 0.043, </v>
      </c>
      <c r="H507" s="142"/>
    </row>
    <row r="508" spans="1:8" ht="15" customHeight="1">
      <c r="A508" s="226"/>
      <c r="B508" s="226"/>
      <c r="C508" s="227"/>
      <c r="D508" s="46" t="s">
        <v>37</v>
      </c>
      <c r="E508" s="168">
        <v>0.033</v>
      </c>
      <c r="F508" s="129"/>
      <c r="G508" s="129" t="str">
        <f>CONCATENATE(D508," - ",E508,", ")</f>
        <v>Burnt Cu scrap - 0.033, </v>
      </c>
      <c r="H508" s="142"/>
    </row>
    <row r="509" spans="1:8" ht="15" customHeight="1">
      <c r="A509" s="226"/>
      <c r="B509" s="226"/>
      <c r="C509" s="227"/>
      <c r="D509" s="46" t="s">
        <v>59</v>
      </c>
      <c r="E509" s="168">
        <v>0.52</v>
      </c>
      <c r="F509" s="129"/>
      <c r="G509" s="129" t="str">
        <f>CONCATENATE(D509," - ",E509,", ")</f>
        <v>Nuts &amp; Bolts scrap - 0.52, </v>
      </c>
      <c r="H509" s="142"/>
    </row>
    <row r="510" spans="1:8" ht="15" customHeight="1">
      <c r="A510" s="226"/>
      <c r="B510" s="226"/>
      <c r="C510" s="227"/>
      <c r="D510" s="46" t="s">
        <v>65</v>
      </c>
      <c r="E510" s="168">
        <v>0.076</v>
      </c>
      <c r="F510" s="129"/>
      <c r="G510" s="129" t="str">
        <f>CONCATENATE(D510," - ",E510,", ")</f>
        <v>Teen Patra scrap - 0.076, </v>
      </c>
      <c r="H510" s="142"/>
    </row>
    <row r="511" spans="1:8" ht="15" customHeight="1">
      <c r="A511" s="41"/>
      <c r="B511" s="1"/>
      <c r="C511" s="1"/>
      <c r="D511" s="1"/>
      <c r="E511" s="1"/>
      <c r="F511" s="129"/>
      <c r="G511" s="129"/>
      <c r="H511" s="142"/>
    </row>
    <row r="512" spans="1:8" ht="15" customHeight="1">
      <c r="A512" s="228"/>
      <c r="B512" s="229"/>
      <c r="C512" s="83"/>
      <c r="D512" s="83"/>
      <c r="E512" s="84">
        <f>SUM(E514:E515)</f>
        <v>0.89</v>
      </c>
      <c r="F512" s="129"/>
      <c r="G512" s="129"/>
      <c r="H512" s="142"/>
    </row>
    <row r="513" spans="1:18" ht="15" customHeight="1">
      <c r="A513" s="226" t="s">
        <v>5</v>
      </c>
      <c r="B513" s="226"/>
      <c r="C513" s="80" t="s">
        <v>17</v>
      </c>
      <c r="D513" s="81" t="s">
        <v>18</v>
      </c>
      <c r="E513" s="80" t="s">
        <v>7</v>
      </c>
      <c r="F513" s="129"/>
      <c r="G513" s="131" t="str">
        <f>CONCATENATE("Misc. Healthy parts/ Non Ferrous  Scrap, Lying at ",C514,". Quantity in MT - ")</f>
        <v>Misc. Healthy parts/ Non Ferrous  Scrap, Lying at TRY Patiala. Quantity in MT - </v>
      </c>
      <c r="H513" s="256" t="str">
        <f ca="1">CONCATENATE(G513,G514,(INDIRECT(I514)),(INDIRECT(J514)),(INDIRECT(K514)),(INDIRECT(L514)),(INDIRECT(M514)),(INDIRECT(N514)),(INDIRECT(O514)),(INDIRECT(P514)),(INDIRECT(Q514)),(INDIRECT(R514)),".")</f>
        <v>Misc. Healthy parts/ Non Ferrous  Scrap, Lying at TRY Patiala. Quantity in MT - Brass scrap - 0.846, Misc. Alumn. Scrap - 0.044, .</v>
      </c>
      <c r="I513" s="138" t="str">
        <f aca="true" ca="1" t="array" ref="I513">CELL("address",INDEX(G513:G535,MATCH(TRUE,ISBLANK(G513:G535),0)))</f>
        <v>$G$516</v>
      </c>
      <c r="J513" s="138">
        <f aca="true" t="array" ref="J513">MATCH(TRUE,ISBLANK(G513:G535),0)</f>
        <v>4</v>
      </c>
      <c r="K513" s="138">
        <f>J513-3</f>
        <v>1</v>
      </c>
      <c r="L513" s="138"/>
      <c r="M513" s="138"/>
      <c r="N513" s="138"/>
      <c r="O513" s="138"/>
      <c r="P513" s="138"/>
      <c r="Q513" s="138"/>
      <c r="R513" s="138"/>
    </row>
    <row r="514" spans="1:18" ht="15" customHeight="1">
      <c r="A514" s="226" t="s">
        <v>135</v>
      </c>
      <c r="B514" s="226"/>
      <c r="C514" s="227" t="s">
        <v>122</v>
      </c>
      <c r="D514" s="51" t="s">
        <v>23</v>
      </c>
      <c r="E514" s="53">
        <v>0.846</v>
      </c>
      <c r="F514" s="129"/>
      <c r="G514" s="129" t="str">
        <f>CONCATENATE(D514," - ",E514,", ")</f>
        <v>Brass scrap - 0.846, </v>
      </c>
      <c r="H514" s="256"/>
      <c r="I514" s="138" t="str">
        <f ca="1">IF(J513&gt;=3,(MID(I513,2,1)&amp;MID(I513,4,4)-K513),CELL("address",Z514))</f>
        <v>G515</v>
      </c>
      <c r="J514" s="138" t="str">
        <f ca="1">IF(J513&gt;=4,(MID(I514,1,1)&amp;MID(I514,2,4)+1),CELL("address",AA514))</f>
        <v>G516</v>
      </c>
      <c r="K514" s="138" t="str">
        <f ca="1">IF(J513&gt;=5,(MID(J514,1,1)&amp;MID(J514,2,4)+1),CELL("address",AB514))</f>
        <v>$AB$514</v>
      </c>
      <c r="L514" s="138" t="str">
        <f ca="1">IF(J513&gt;=6,(MID(K514,1,1)&amp;MID(K514,2,4)+1),CELL("address",AC514))</f>
        <v>$AC$514</v>
      </c>
      <c r="M514" s="138" t="str">
        <f ca="1">IF(J513&gt;=7,(MID(L514,1,1)&amp;MID(L514,2,4)+1),CELL("address",AD514))</f>
        <v>$AD$514</v>
      </c>
      <c r="N514" s="138" t="str">
        <f ca="1">IF(J513&gt;=8,(MID(M514,1,1)&amp;MID(M514,2,4)+1),CELL("address",AE514))</f>
        <v>$AE$514</v>
      </c>
      <c r="O514" s="138" t="str">
        <f ca="1">IF(J513&gt;=9,(MID(N514,1,1)&amp;MID(N514,2,4)+1),CELL("address",AF514))</f>
        <v>$AF$514</v>
      </c>
      <c r="P514" s="138" t="str">
        <f ca="1">IF(J513&gt;=10,(MID(O514,1,1)&amp;MID(O514,2,4)+1),CELL("address",AG514))</f>
        <v>$AG$514</v>
      </c>
      <c r="Q514" s="138" t="str">
        <f ca="1">IF(J513&gt;=11,(MID(P514,1,1)&amp;MID(P514,2,4)+1),CELL("address",AH514))</f>
        <v>$AH$514</v>
      </c>
      <c r="R514" s="138" t="str">
        <f ca="1">IF(J513&gt;=12,(MID(Q514,1,1)&amp;MID(Q514,2,4)+1),CELL("address",AI514))</f>
        <v>$AI$514</v>
      </c>
    </row>
    <row r="515" spans="1:8" ht="15" customHeight="1">
      <c r="A515" s="226"/>
      <c r="B515" s="226"/>
      <c r="C515" s="227"/>
      <c r="D515" s="51" t="s">
        <v>31</v>
      </c>
      <c r="E515" s="80">
        <v>0.044</v>
      </c>
      <c r="F515" s="129"/>
      <c r="G515" s="129" t="str">
        <f>CONCATENATE(D515," - ",E515,", ")</f>
        <v>Misc. Alumn. Scrap - 0.044, </v>
      </c>
      <c r="H515" s="142"/>
    </row>
    <row r="516" spans="1:8" ht="15" customHeight="1">
      <c r="A516" s="58"/>
      <c r="B516" s="61"/>
      <c r="C516" s="22"/>
      <c r="D516" s="112"/>
      <c r="E516" s="113"/>
      <c r="F516" s="129"/>
      <c r="G516" s="129"/>
      <c r="H516" s="142"/>
    </row>
    <row r="517" spans="1:8" ht="15" customHeight="1">
      <c r="A517" s="228"/>
      <c r="B517" s="229"/>
      <c r="C517" s="83"/>
      <c r="D517" s="83"/>
      <c r="E517" s="84">
        <f>SUM(E519:E520)</f>
        <v>0.027</v>
      </c>
      <c r="F517" s="129"/>
      <c r="G517" s="129"/>
      <c r="H517" s="142"/>
    </row>
    <row r="518" spans="1:18" ht="15" customHeight="1">
      <c r="A518" s="226" t="s">
        <v>5</v>
      </c>
      <c r="B518" s="226"/>
      <c r="C518" s="80" t="s">
        <v>17</v>
      </c>
      <c r="D518" s="81" t="s">
        <v>18</v>
      </c>
      <c r="E518" s="80" t="s">
        <v>7</v>
      </c>
      <c r="F518" s="129"/>
      <c r="G518" s="131" t="str">
        <f>CONCATENATE("Misc. Healthy parts/ Non Ferrous  Scrap, Lying at ",C519,". Quantity in MT - ")</f>
        <v>Misc. Healthy parts/ Non Ferrous  Scrap, Lying at CS Sangrur. Quantity in MT - </v>
      </c>
      <c r="H518" s="173" t="str">
        <f ca="1">CONCATENATE(G518,G519,(INDIRECT(I519)),(INDIRECT(J519)),(INDIRECT(K519)),(INDIRECT(L519)),(INDIRECT(M519)),(INDIRECT(N519)),(INDIRECT(O519)),(INDIRECT(P519)),(INDIRECT(Q519)),(INDIRECT(R519)),".")</f>
        <v>Misc. Healthy parts/ Non Ferrous  Scrap, Lying at CS Sangrur. Quantity in MT - Misc. copper scrap - 0.022, Misc. Alumn. Scrap - 0.005, .</v>
      </c>
      <c r="I518" s="138" t="str">
        <f aca="true" ca="1" t="array" ref="I518">CELL("address",INDEX(G518:G540,MATCH(TRUE,ISBLANK(G518:G540),0)))</f>
        <v>$G$521</v>
      </c>
      <c r="J518" s="138">
        <f aca="true" t="array" ref="J518">MATCH(TRUE,ISBLANK(G518:G540),0)</f>
        <v>4</v>
      </c>
      <c r="K518" s="138">
        <f>J518-3</f>
        <v>1</v>
      </c>
      <c r="L518" s="138"/>
      <c r="M518" s="138"/>
      <c r="N518" s="138"/>
      <c r="O518" s="138"/>
      <c r="P518" s="138"/>
      <c r="Q518" s="138"/>
      <c r="R518" s="138"/>
    </row>
    <row r="519" spans="1:18" ht="15" customHeight="1">
      <c r="A519" s="239" t="s">
        <v>138</v>
      </c>
      <c r="B519" s="240"/>
      <c r="C519" s="245" t="s">
        <v>80</v>
      </c>
      <c r="D519" s="74" t="s">
        <v>113</v>
      </c>
      <c r="E519" s="53">
        <v>0.022</v>
      </c>
      <c r="F519" s="129"/>
      <c r="G519" s="129" t="str">
        <f>CONCATENATE(D519," - ",E519,", ")</f>
        <v>Misc. copper scrap - 0.022, </v>
      </c>
      <c r="H519" s="173"/>
      <c r="I519" s="138" t="str">
        <f ca="1">IF(J518&gt;=3,(MID(I518,2,1)&amp;MID(I518,4,4)-K518),CELL("address",Z519))</f>
        <v>G520</v>
      </c>
      <c r="J519" s="138" t="str">
        <f ca="1">IF(J518&gt;=4,(MID(I519,1,1)&amp;MID(I519,2,4)+1),CELL("address",AA519))</f>
        <v>G521</v>
      </c>
      <c r="K519" s="138" t="str">
        <f ca="1">IF(J518&gt;=5,(MID(J519,1,1)&amp;MID(J519,2,4)+1),CELL("address",AB519))</f>
        <v>$AB$519</v>
      </c>
      <c r="L519" s="138" t="str">
        <f ca="1">IF(J518&gt;=6,(MID(K519,1,1)&amp;MID(K519,2,4)+1),CELL("address",AC519))</f>
        <v>$AC$519</v>
      </c>
      <c r="M519" s="138" t="str">
        <f ca="1">IF(J518&gt;=7,(MID(L519,1,1)&amp;MID(L519,2,4)+1),CELL("address",AD519))</f>
        <v>$AD$519</v>
      </c>
      <c r="N519" s="138" t="str">
        <f ca="1">IF(J518&gt;=8,(MID(M519,1,1)&amp;MID(M519,2,4)+1),CELL("address",AE519))</f>
        <v>$AE$519</v>
      </c>
      <c r="O519" s="138" t="str">
        <f ca="1">IF(J518&gt;=9,(MID(N519,1,1)&amp;MID(N519,2,4)+1),CELL("address",AF519))</f>
        <v>$AF$519</v>
      </c>
      <c r="P519" s="138" t="str">
        <f ca="1">IF(J518&gt;=10,(MID(O519,1,1)&amp;MID(O519,2,4)+1),CELL("address",AG519))</f>
        <v>$AG$519</v>
      </c>
      <c r="Q519" s="138" t="str">
        <f ca="1">IF(J518&gt;=11,(MID(P519,1,1)&amp;MID(P519,2,4)+1),CELL("address",AH519))</f>
        <v>$AH$519</v>
      </c>
      <c r="R519" s="138" t="str">
        <f ca="1">IF(J518&gt;=12,(MID(Q519,1,1)&amp;MID(Q519,2,4)+1),CELL("address",AI519))</f>
        <v>$AI$519</v>
      </c>
    </row>
    <row r="520" spans="1:8" ht="15" customHeight="1">
      <c r="A520" s="243"/>
      <c r="B520" s="244"/>
      <c r="C520" s="247"/>
      <c r="D520" s="51" t="s">
        <v>31</v>
      </c>
      <c r="E520" s="53">
        <v>0.005</v>
      </c>
      <c r="F520" s="129"/>
      <c r="G520" s="129" t="str">
        <f>CONCATENATE(D520," - ",E520,", ")</f>
        <v>Misc. Alumn. Scrap - 0.005, </v>
      </c>
      <c r="H520" s="142"/>
    </row>
    <row r="521" spans="1:8" ht="15" customHeight="1">
      <c r="A521" s="58"/>
      <c r="B521" s="61"/>
      <c r="C521" s="22"/>
      <c r="D521" s="130"/>
      <c r="E521" s="118"/>
      <c r="F521" s="129"/>
      <c r="G521" s="129"/>
      <c r="H521" s="142"/>
    </row>
    <row r="522" spans="1:8" ht="15" customHeight="1">
      <c r="A522" s="228"/>
      <c r="B522" s="229"/>
      <c r="C522" s="83"/>
      <c r="D522" s="83"/>
      <c r="E522" s="84">
        <f>SUM(E524:E524)</f>
        <v>0.011</v>
      </c>
      <c r="F522" s="129"/>
      <c r="G522" s="129"/>
      <c r="H522" s="142"/>
    </row>
    <row r="523" spans="1:18" ht="15" customHeight="1">
      <c r="A523" s="226" t="s">
        <v>5</v>
      </c>
      <c r="B523" s="226"/>
      <c r="C523" s="80" t="s">
        <v>17</v>
      </c>
      <c r="D523" s="81" t="s">
        <v>18</v>
      </c>
      <c r="E523" s="80" t="s">
        <v>7</v>
      </c>
      <c r="F523" s="129"/>
      <c r="G523" s="131" t="str">
        <f>CONCATENATE("Misc. Healthy parts/ Non Ferrous  Scrap, Lying at ",C524,". Quantity in MT - ")</f>
        <v>Misc. Healthy parts/ Non Ferrous  Scrap, Lying at CS Malout. Quantity in MT - </v>
      </c>
      <c r="H523" s="173" t="str">
        <f ca="1">CONCATENATE(G523,G524,(INDIRECT(I524)),(INDIRECT(J524)),(INDIRECT(K524)),(INDIRECT(L524)),(INDIRECT(M524)),(INDIRECT(N524)),(INDIRECT(O524)),(INDIRECT(P524)),(INDIRECT(Q524)),(INDIRECT(R524)),".")</f>
        <v>Misc. Healthy parts/ Non Ferrous  Scrap, Lying at CS Malout. Quantity in MT - Brass scrap - 0.011, .</v>
      </c>
      <c r="I523" s="138" t="str">
        <f aca="true" ca="1" t="array" ref="I523">CELL("address",INDEX(G523:G545,MATCH(TRUE,ISBLANK(G523:G545),0)))</f>
        <v>$G$525</v>
      </c>
      <c r="J523" s="138">
        <f aca="true" t="array" ref="J523">MATCH(TRUE,ISBLANK(G523:G545),0)</f>
        <v>3</v>
      </c>
      <c r="K523" s="138">
        <f>J523-3</f>
        <v>0</v>
      </c>
      <c r="L523" s="138"/>
      <c r="M523" s="138"/>
      <c r="N523" s="138"/>
      <c r="O523" s="138"/>
      <c r="P523" s="138"/>
      <c r="Q523" s="138"/>
      <c r="R523" s="138"/>
    </row>
    <row r="524" spans="1:18" ht="15" customHeight="1">
      <c r="A524" s="226" t="s">
        <v>193</v>
      </c>
      <c r="B524" s="226"/>
      <c r="C524" s="179" t="s">
        <v>96</v>
      </c>
      <c r="D524" s="51" t="s">
        <v>23</v>
      </c>
      <c r="E524" s="53">
        <v>0.011</v>
      </c>
      <c r="F524" s="129"/>
      <c r="G524" s="129" t="str">
        <f>CONCATENATE(D524," - ",E524,", ")</f>
        <v>Brass scrap - 0.011, </v>
      </c>
      <c r="H524" s="173"/>
      <c r="I524" s="138" t="str">
        <f ca="1">IF(J523&gt;=3,(MID(I523,2,1)&amp;MID(I523,4,4)-K523),CELL("address",Z524))</f>
        <v>G525</v>
      </c>
      <c r="J524" s="138" t="str">
        <f ca="1">IF(J523&gt;=4,(MID(I524,1,1)&amp;MID(I524,2,4)+1),CELL("address",AA524))</f>
        <v>$AA$524</v>
      </c>
      <c r="K524" s="138" t="str">
        <f ca="1">IF(J523&gt;=5,(MID(J524,1,1)&amp;MID(J524,2,4)+1),CELL("address",AB524))</f>
        <v>$AB$524</v>
      </c>
      <c r="L524" s="138" t="str">
        <f ca="1">IF(J523&gt;=6,(MID(K524,1,1)&amp;MID(K524,2,4)+1),CELL("address",AC524))</f>
        <v>$AC$524</v>
      </c>
      <c r="M524" s="138" t="str">
        <f ca="1">IF(J523&gt;=7,(MID(L524,1,1)&amp;MID(L524,2,4)+1),CELL("address",AD524))</f>
        <v>$AD$524</v>
      </c>
      <c r="N524" s="138" t="str">
        <f ca="1">IF(J523&gt;=8,(MID(M524,1,1)&amp;MID(M524,2,4)+1),CELL("address",AE524))</f>
        <v>$AE$524</v>
      </c>
      <c r="O524" s="138" t="str">
        <f ca="1">IF(J523&gt;=9,(MID(N524,1,1)&amp;MID(N524,2,4)+1),CELL("address",AF524))</f>
        <v>$AF$524</v>
      </c>
      <c r="P524" s="138" t="str">
        <f ca="1">IF(J523&gt;=10,(MID(O524,1,1)&amp;MID(O524,2,4)+1),CELL("address",AG524))</f>
        <v>$AG$524</v>
      </c>
      <c r="Q524" s="138" t="str">
        <f ca="1">IF(J523&gt;=11,(MID(P524,1,1)&amp;MID(P524,2,4)+1),CELL("address",AH524))</f>
        <v>$AH$524</v>
      </c>
      <c r="R524" s="138" t="str">
        <f ca="1">IF(J523&gt;=12,(MID(Q524,1,1)&amp;MID(Q524,2,4)+1),CELL("address",AI524))</f>
        <v>$AI$524</v>
      </c>
    </row>
    <row r="525" spans="1:8" ht="15" customHeight="1">
      <c r="A525" s="254"/>
      <c r="B525" s="255"/>
      <c r="C525" s="129"/>
      <c r="D525" s="129"/>
      <c r="E525" s="129"/>
      <c r="F525" s="129"/>
      <c r="G525" s="129"/>
      <c r="H525" s="142"/>
    </row>
    <row r="526" spans="1:8" ht="15" customHeight="1">
      <c r="A526" s="228"/>
      <c r="B526" s="229"/>
      <c r="C526" s="83"/>
      <c r="D526" s="83"/>
      <c r="E526" s="84">
        <f>SUM(E528:E528)</f>
        <v>1</v>
      </c>
      <c r="F526" s="129"/>
      <c r="G526" s="129"/>
      <c r="H526" s="142"/>
    </row>
    <row r="527" spans="1:18" ht="15" customHeight="1">
      <c r="A527" s="226" t="s">
        <v>5</v>
      </c>
      <c r="B527" s="226"/>
      <c r="C527" s="80" t="s">
        <v>17</v>
      </c>
      <c r="D527" s="81" t="s">
        <v>18</v>
      </c>
      <c r="E527" s="80" t="s">
        <v>7</v>
      </c>
      <c r="F527" s="129"/>
      <c r="G527" s="131" t="str">
        <f>CONCATENATE("Misc. Healthy parts/ Non Ferrous  Scrap, Lying at ",C528,". Quantity in MT - ")</f>
        <v>Misc. Healthy parts/ Non Ferrous  Scrap, Lying at TRY Bathinda. Quantity in MT - </v>
      </c>
      <c r="H527" s="173" t="str">
        <f ca="1">CONCATENATE(G527,G528,(INDIRECT(I528)),(INDIRECT(J528)),(INDIRECT(K528)),(INDIRECT(L528)),(INDIRECT(M528)),(INDIRECT(N528)),(INDIRECT(O528)),(INDIRECT(P528)),(INDIRECT(Q528)),(INDIRECT(R528)),".")</f>
        <v>Misc. Healthy parts/ Non Ferrous  Scrap, Lying at TRY Bathinda. Quantity in MT - Brass scrap - 1, .</v>
      </c>
      <c r="I527" s="138" t="str">
        <f aca="true" ca="1" t="array" ref="I527">CELL("address",INDEX(G527:G549,MATCH(TRUE,ISBLANK(G527:G549),0)))</f>
        <v>$G$529</v>
      </c>
      <c r="J527" s="138">
        <f aca="true" t="array" ref="J527">MATCH(TRUE,ISBLANK(G527:G549),0)</f>
        <v>3</v>
      </c>
      <c r="K527" s="138">
        <f>J527-3</f>
        <v>0</v>
      </c>
      <c r="L527" s="138"/>
      <c r="M527" s="138"/>
      <c r="N527" s="138"/>
      <c r="O527" s="138"/>
      <c r="P527" s="138"/>
      <c r="Q527" s="138"/>
      <c r="R527" s="138"/>
    </row>
    <row r="528" spans="1:18" ht="15" customHeight="1">
      <c r="A528" s="226" t="s">
        <v>200</v>
      </c>
      <c r="B528" s="226"/>
      <c r="C528" s="179" t="s">
        <v>36</v>
      </c>
      <c r="D528" s="46" t="s">
        <v>23</v>
      </c>
      <c r="E528" s="52">
        <v>1</v>
      </c>
      <c r="F528" s="129"/>
      <c r="G528" s="129" t="str">
        <f>CONCATENATE(D528," - ",E528,", ")</f>
        <v>Brass scrap - 1, </v>
      </c>
      <c r="H528" s="173"/>
      <c r="I528" s="138" t="str">
        <f ca="1">IF(J527&gt;=3,(MID(I527,2,1)&amp;MID(I527,4,4)-K527),CELL("address",Z528))</f>
        <v>G529</v>
      </c>
      <c r="J528" s="138" t="str">
        <f ca="1">IF(J527&gt;=4,(MID(I528,1,1)&amp;MID(I528,2,4)+1),CELL("address",AA528))</f>
        <v>$AA$528</v>
      </c>
      <c r="K528" s="138" t="str">
        <f ca="1">IF(J527&gt;=5,(MID(J528,1,1)&amp;MID(J528,2,4)+1),CELL("address",AB528))</f>
        <v>$AB$528</v>
      </c>
      <c r="L528" s="138" t="str">
        <f ca="1">IF(J527&gt;=6,(MID(K528,1,1)&amp;MID(K528,2,4)+1),CELL("address",AC528))</f>
        <v>$AC$528</v>
      </c>
      <c r="M528" s="138" t="str">
        <f ca="1">IF(J527&gt;=7,(MID(L528,1,1)&amp;MID(L528,2,4)+1),CELL("address",AD528))</f>
        <v>$AD$528</v>
      </c>
      <c r="N528" s="138" t="str">
        <f ca="1">IF(J527&gt;=8,(MID(M528,1,1)&amp;MID(M528,2,4)+1),CELL("address",AE528))</f>
        <v>$AE$528</v>
      </c>
      <c r="O528" s="138" t="str">
        <f ca="1">IF(J527&gt;=9,(MID(N528,1,1)&amp;MID(N528,2,4)+1),CELL("address",AF528))</f>
        <v>$AF$528</v>
      </c>
      <c r="P528" s="138" t="str">
        <f ca="1">IF(J527&gt;=10,(MID(O528,1,1)&amp;MID(O528,2,4)+1),CELL("address",AG528))</f>
        <v>$AG$528</v>
      </c>
      <c r="Q528" s="138" t="str">
        <f ca="1">IF(J527&gt;=11,(MID(P528,1,1)&amp;MID(P528,2,4)+1),CELL("address",AH528))</f>
        <v>$AH$528</v>
      </c>
      <c r="R528" s="138" t="str">
        <f ca="1">IF(J527&gt;=12,(MID(Q528,1,1)&amp;MID(Q528,2,4)+1),CELL("address",AI528))</f>
        <v>$AI$528</v>
      </c>
    </row>
    <row r="529" spans="1:8" ht="15" customHeight="1">
      <c r="A529" s="254"/>
      <c r="B529" s="255"/>
      <c r="C529" s="129"/>
      <c r="D529" s="129"/>
      <c r="E529" s="129"/>
      <c r="F529" s="129"/>
      <c r="G529" s="129"/>
      <c r="H529" s="142"/>
    </row>
    <row r="530" spans="1:8" ht="15" customHeight="1">
      <c r="A530" s="228"/>
      <c r="B530" s="229"/>
      <c r="C530" s="83"/>
      <c r="D530" s="83"/>
      <c r="E530" s="84">
        <f>SUM(E532:E532)</f>
        <v>1</v>
      </c>
      <c r="F530" s="129"/>
      <c r="G530" s="129"/>
      <c r="H530" s="142"/>
    </row>
    <row r="531" spans="1:18" ht="15" customHeight="1">
      <c r="A531" s="226" t="s">
        <v>5</v>
      </c>
      <c r="B531" s="226"/>
      <c r="C531" s="80" t="s">
        <v>17</v>
      </c>
      <c r="D531" s="81" t="s">
        <v>18</v>
      </c>
      <c r="E531" s="80" t="s">
        <v>7</v>
      </c>
      <c r="F531" s="129"/>
      <c r="G531" s="131" t="str">
        <f>CONCATENATE("Misc. Healthy parts/ Non Ferrous  Scrap, Lying at ",C532,". Quantity in MT - ")</f>
        <v>Misc. Healthy parts/ Non Ferrous  Scrap, Lying at TRY Bathinda. Quantity in MT - </v>
      </c>
      <c r="H531" s="173" t="str">
        <f ca="1">CONCATENATE(G531,G532,(INDIRECT(I532)),(INDIRECT(J532)),(INDIRECT(K532)),(INDIRECT(L532)),(INDIRECT(M532)),(INDIRECT(N532)),(INDIRECT(O532)),(INDIRECT(P532)),(INDIRECT(Q532)),(INDIRECT(R532)),".")</f>
        <v>Misc. Healthy parts/ Non Ferrous  Scrap, Lying at TRY Bathinda. Quantity in MT - Brass scrap - 1, .</v>
      </c>
      <c r="I531" s="138" t="str">
        <f aca="true" ca="1" t="array" ref="I531">CELL("address",INDEX(G531:G553,MATCH(TRUE,ISBLANK(G531:G553),0)))</f>
        <v>$G$533</v>
      </c>
      <c r="J531" s="138">
        <f aca="true" t="array" ref="J531">MATCH(TRUE,ISBLANK(G531:G553),0)</f>
        <v>3</v>
      </c>
      <c r="K531" s="138">
        <f>J531-3</f>
        <v>0</v>
      </c>
      <c r="L531" s="138"/>
      <c r="M531" s="138"/>
      <c r="N531" s="138"/>
      <c r="O531" s="138"/>
      <c r="P531" s="138"/>
      <c r="Q531" s="138"/>
      <c r="R531" s="138"/>
    </row>
    <row r="532" spans="1:18" ht="15" customHeight="1">
      <c r="A532" s="226" t="s">
        <v>208</v>
      </c>
      <c r="B532" s="226"/>
      <c r="C532" s="179" t="s">
        <v>36</v>
      </c>
      <c r="D532" s="46" t="s">
        <v>23</v>
      </c>
      <c r="E532" s="52">
        <v>1</v>
      </c>
      <c r="F532" s="129"/>
      <c r="G532" s="129" t="str">
        <f>CONCATENATE(D532," - ",E532,", ")</f>
        <v>Brass scrap - 1, </v>
      </c>
      <c r="H532" s="173"/>
      <c r="I532" s="138" t="str">
        <f ca="1">IF(J531&gt;=3,(MID(I531,2,1)&amp;MID(I531,4,4)-K531),CELL("address",Z532))</f>
        <v>G533</v>
      </c>
      <c r="J532" s="138" t="str">
        <f ca="1">IF(J531&gt;=4,(MID(I532,1,1)&amp;MID(I532,2,4)+1),CELL("address",AA532))</f>
        <v>$AA$532</v>
      </c>
      <c r="K532" s="138" t="str">
        <f ca="1">IF(J531&gt;=5,(MID(J532,1,1)&amp;MID(J532,2,4)+1),CELL("address",AB532))</f>
        <v>$AB$532</v>
      </c>
      <c r="L532" s="138" t="str">
        <f ca="1">IF(J531&gt;=6,(MID(K532,1,1)&amp;MID(K532,2,4)+1),CELL("address",AC532))</f>
        <v>$AC$532</v>
      </c>
      <c r="M532" s="138" t="str">
        <f ca="1">IF(J531&gt;=7,(MID(L532,1,1)&amp;MID(L532,2,4)+1),CELL("address",AD532))</f>
        <v>$AD$532</v>
      </c>
      <c r="N532" s="138" t="str">
        <f ca="1">IF(J531&gt;=8,(MID(M532,1,1)&amp;MID(M532,2,4)+1),CELL("address",AE532))</f>
        <v>$AE$532</v>
      </c>
      <c r="O532" s="138" t="str">
        <f ca="1">IF(J531&gt;=9,(MID(N532,1,1)&amp;MID(N532,2,4)+1),CELL("address",AF532))</f>
        <v>$AF$532</v>
      </c>
      <c r="P532" s="138" t="str">
        <f ca="1">IF(J531&gt;=10,(MID(O532,1,1)&amp;MID(O532,2,4)+1),CELL("address",AG532))</f>
        <v>$AG$532</v>
      </c>
      <c r="Q532" s="138" t="str">
        <f ca="1">IF(J531&gt;=11,(MID(P532,1,1)&amp;MID(P532,2,4)+1),CELL("address",AH532))</f>
        <v>$AH$532</v>
      </c>
      <c r="R532" s="138" t="str">
        <f ca="1">IF(J531&gt;=12,(MID(Q532,1,1)&amp;MID(Q532,2,4)+1),CELL("address",AI532))</f>
        <v>$AI$532</v>
      </c>
    </row>
    <row r="533" spans="1:8" ht="15" customHeight="1">
      <c r="A533" s="254"/>
      <c r="B533" s="255"/>
      <c r="C533" s="129"/>
      <c r="D533" s="129"/>
      <c r="E533" s="129"/>
      <c r="F533" s="129"/>
      <c r="G533" s="129"/>
      <c r="H533" s="142"/>
    </row>
    <row r="534" spans="1:8" ht="15" customHeight="1">
      <c r="A534" s="228"/>
      <c r="B534" s="229"/>
      <c r="C534" s="83"/>
      <c r="D534" s="83"/>
      <c r="E534" s="84">
        <f>SUM(E536:E536)</f>
        <v>1</v>
      </c>
      <c r="F534" s="129"/>
      <c r="G534" s="129"/>
      <c r="H534" s="142"/>
    </row>
    <row r="535" spans="1:18" ht="15" customHeight="1">
      <c r="A535" s="226" t="s">
        <v>5</v>
      </c>
      <c r="B535" s="226"/>
      <c r="C535" s="80" t="s">
        <v>17</v>
      </c>
      <c r="D535" s="81" t="s">
        <v>18</v>
      </c>
      <c r="E535" s="80" t="s">
        <v>7</v>
      </c>
      <c r="F535" s="129"/>
      <c r="G535" s="131" t="str">
        <f>CONCATENATE("Misc. Healthy parts/ Non Ferrous  Scrap, Lying at ",C536,". Quantity in MT - ")</f>
        <v>Misc. Healthy parts/ Non Ferrous  Scrap, Lying at TRY Bathinda. Quantity in MT - </v>
      </c>
      <c r="H535" s="173" t="str">
        <f ca="1">CONCATENATE(G535,G536,(INDIRECT(I536)),(INDIRECT(J536)),(INDIRECT(K536)),(INDIRECT(L536)),(INDIRECT(M536)),(INDIRECT(N536)),(INDIRECT(O536)),(INDIRECT(P536)),(INDIRECT(Q536)),(INDIRECT(R536)),".")</f>
        <v>Misc. Healthy parts/ Non Ferrous  Scrap, Lying at TRY Bathinda. Quantity in MT - Brass scrap - 1, .</v>
      </c>
      <c r="I535" s="138" t="str">
        <f aca="true" ca="1" t="array" ref="I535">CELL("address",INDEX(G535:G557,MATCH(TRUE,ISBLANK(G535:G557),0)))</f>
        <v>$G$537</v>
      </c>
      <c r="J535" s="138">
        <f aca="true" t="array" ref="J535">MATCH(TRUE,ISBLANK(G535:G557),0)</f>
        <v>3</v>
      </c>
      <c r="K535" s="138">
        <f>J535-3</f>
        <v>0</v>
      </c>
      <c r="L535" s="138"/>
      <c r="M535" s="138"/>
      <c r="N535" s="138"/>
      <c r="O535" s="138"/>
      <c r="P535" s="138"/>
      <c r="Q535" s="138"/>
      <c r="R535" s="138"/>
    </row>
    <row r="536" spans="1:18" ht="15" customHeight="1">
      <c r="A536" s="226" t="s">
        <v>235</v>
      </c>
      <c r="B536" s="226"/>
      <c r="C536" s="179" t="s">
        <v>36</v>
      </c>
      <c r="D536" s="46" t="s">
        <v>23</v>
      </c>
      <c r="E536" s="52">
        <v>1</v>
      </c>
      <c r="F536" s="129"/>
      <c r="G536" s="129" t="str">
        <f>CONCATENATE(D536," - ",E536,", ")</f>
        <v>Brass scrap - 1, </v>
      </c>
      <c r="H536" s="173"/>
      <c r="I536" s="138" t="str">
        <f ca="1">IF(J535&gt;=3,(MID(I535,2,1)&amp;MID(I535,4,4)-K535),CELL("address",Z536))</f>
        <v>G537</v>
      </c>
      <c r="J536" s="138" t="str">
        <f ca="1">IF(J535&gt;=4,(MID(I536,1,1)&amp;MID(I536,2,4)+1),CELL("address",AA536))</f>
        <v>$AA$536</v>
      </c>
      <c r="K536" s="138" t="str">
        <f ca="1">IF(J535&gt;=5,(MID(J536,1,1)&amp;MID(J536,2,4)+1),CELL("address",AB536))</f>
        <v>$AB$536</v>
      </c>
      <c r="L536" s="138" t="str">
        <f ca="1">IF(J535&gt;=6,(MID(K536,1,1)&amp;MID(K536,2,4)+1),CELL("address",AC536))</f>
        <v>$AC$536</v>
      </c>
      <c r="M536" s="138" t="str">
        <f ca="1">IF(J535&gt;=7,(MID(L536,1,1)&amp;MID(L536,2,4)+1),CELL("address",AD536))</f>
        <v>$AD$536</v>
      </c>
      <c r="N536" s="138" t="str">
        <f ca="1">IF(J535&gt;=8,(MID(M536,1,1)&amp;MID(M536,2,4)+1),CELL("address",AE536))</f>
        <v>$AE$536</v>
      </c>
      <c r="O536" s="138" t="str">
        <f ca="1">IF(J535&gt;=9,(MID(N536,1,1)&amp;MID(N536,2,4)+1),CELL("address",AF536))</f>
        <v>$AF$536</v>
      </c>
      <c r="P536" s="138" t="str">
        <f ca="1">IF(J535&gt;=10,(MID(O536,1,1)&amp;MID(O536,2,4)+1),CELL("address",AG536))</f>
        <v>$AG$536</v>
      </c>
      <c r="Q536" s="138" t="str">
        <f ca="1">IF(J535&gt;=11,(MID(P536,1,1)&amp;MID(P536,2,4)+1),CELL("address",AH536))</f>
        <v>$AH$536</v>
      </c>
      <c r="R536" s="138" t="str">
        <f ca="1">IF(J535&gt;=12,(MID(Q536,1,1)&amp;MID(Q536,2,4)+1),CELL("address",AI536))</f>
        <v>$AI$536</v>
      </c>
    </row>
    <row r="537" spans="1:8" ht="15" customHeight="1">
      <c r="A537" s="254"/>
      <c r="B537" s="255"/>
      <c r="C537" s="129"/>
      <c r="D537" s="129"/>
      <c r="E537" s="129"/>
      <c r="F537" s="129"/>
      <c r="G537" s="129"/>
      <c r="H537" s="142"/>
    </row>
    <row r="538" spans="1:8" ht="15" customHeight="1">
      <c r="A538" s="228"/>
      <c r="B538" s="229"/>
      <c r="C538" s="83"/>
      <c r="D538" s="83"/>
      <c r="E538" s="84">
        <f>SUM(E540:E540)</f>
        <v>1</v>
      </c>
      <c r="F538" s="253"/>
      <c r="G538" s="253"/>
      <c r="H538" s="142"/>
    </row>
    <row r="539" spans="1:18" ht="15" customHeight="1">
      <c r="A539" s="226" t="s">
        <v>5</v>
      </c>
      <c r="B539" s="226"/>
      <c r="C539" s="80" t="s">
        <v>17</v>
      </c>
      <c r="D539" s="81" t="s">
        <v>18</v>
      </c>
      <c r="E539" s="80" t="s">
        <v>7</v>
      </c>
      <c r="F539" s="129"/>
      <c r="G539" s="131" t="str">
        <f>CONCATENATE("Misc. Healthy parts/ Non Ferrous  Scrap, Lying at ",C540,". Quantity in MT - ")</f>
        <v>Misc. Healthy parts/ Non Ferrous  Scrap, Lying at TRY Bathinda. Quantity in MT - </v>
      </c>
      <c r="H539" s="173" t="str">
        <f ca="1">CONCATENATE(G539,G540,(INDIRECT(I540)),(INDIRECT(J540)),(INDIRECT(K540)),(INDIRECT(L540)),(INDIRECT(M540)),(INDIRECT(N540)),(INDIRECT(O540)),(INDIRECT(P540)),(INDIRECT(Q540)),(INDIRECT(R540)),".")</f>
        <v>Misc. Healthy parts/ Non Ferrous  Scrap, Lying at TRY Bathinda. Quantity in MT - Brass scrap - 1, .</v>
      </c>
      <c r="I539" s="138" t="str">
        <f aca="true" ca="1" t="array" ref="I539">CELL("address",INDEX(G539:G561,MATCH(TRUE,ISBLANK(G539:G561),0)))</f>
        <v>$G$541</v>
      </c>
      <c r="J539" s="138">
        <f aca="true" t="array" ref="J539">MATCH(TRUE,ISBLANK(G539:G561),0)</f>
        <v>3</v>
      </c>
      <c r="K539" s="138">
        <f>J539-3</f>
        <v>0</v>
      </c>
      <c r="L539" s="138"/>
      <c r="M539" s="138"/>
      <c r="N539" s="138"/>
      <c r="O539" s="138"/>
      <c r="P539" s="138"/>
      <c r="Q539" s="138"/>
      <c r="R539" s="138"/>
    </row>
    <row r="540" spans="1:18" ht="15" customHeight="1">
      <c r="A540" s="226" t="s">
        <v>191</v>
      </c>
      <c r="B540" s="226"/>
      <c r="C540" s="179" t="s">
        <v>36</v>
      </c>
      <c r="D540" s="46" t="s">
        <v>23</v>
      </c>
      <c r="E540" s="52">
        <v>1</v>
      </c>
      <c r="F540" s="129"/>
      <c r="G540" s="129" t="str">
        <f>CONCATENATE(D540," - ",E540,", ")</f>
        <v>Brass scrap - 1, </v>
      </c>
      <c r="H540" s="173"/>
      <c r="I540" s="138" t="str">
        <f ca="1">IF(J539&gt;=3,(MID(I539,2,1)&amp;MID(I539,4,4)-K539),CELL("address",Z540))</f>
        <v>G541</v>
      </c>
      <c r="J540" s="138" t="str">
        <f ca="1">IF(J539&gt;=4,(MID(I540,1,1)&amp;MID(I540,2,4)+1),CELL("address",AA540))</f>
        <v>$AA$540</v>
      </c>
      <c r="K540" s="138" t="str">
        <f ca="1">IF(J539&gt;=5,(MID(J540,1,1)&amp;MID(J540,2,4)+1),CELL("address",AB540))</f>
        <v>$AB$540</v>
      </c>
      <c r="L540" s="138" t="str">
        <f ca="1">IF(J539&gt;=6,(MID(K540,1,1)&amp;MID(K540,2,4)+1),CELL("address",AC540))</f>
        <v>$AC$540</v>
      </c>
      <c r="M540" s="138" t="str">
        <f ca="1">IF(J539&gt;=7,(MID(L540,1,1)&amp;MID(L540,2,4)+1),CELL("address",AD540))</f>
        <v>$AD$540</v>
      </c>
      <c r="N540" s="138" t="str">
        <f ca="1">IF(J539&gt;=8,(MID(M540,1,1)&amp;MID(M540,2,4)+1),CELL("address",AE540))</f>
        <v>$AE$540</v>
      </c>
      <c r="O540" s="138" t="str">
        <f ca="1">IF(J539&gt;=9,(MID(N540,1,1)&amp;MID(N540,2,4)+1),CELL("address",AF540))</f>
        <v>$AF$540</v>
      </c>
      <c r="P540" s="138" t="str">
        <f ca="1">IF(J539&gt;=10,(MID(O540,1,1)&amp;MID(O540,2,4)+1),CELL("address",AG540))</f>
        <v>$AG$540</v>
      </c>
      <c r="Q540" s="138" t="str">
        <f ca="1">IF(J539&gt;=11,(MID(P540,1,1)&amp;MID(P540,2,4)+1),CELL("address",AH540))</f>
        <v>$AH$540</v>
      </c>
      <c r="R540" s="138" t="str">
        <f ca="1">IF(J539&gt;=12,(MID(Q540,1,1)&amp;MID(Q540,2,4)+1),CELL("address",AI540))</f>
        <v>$AI$540</v>
      </c>
    </row>
    <row r="541" spans="1:8" ht="15" customHeight="1">
      <c r="A541" s="58"/>
      <c r="B541" s="61"/>
      <c r="C541" s="22"/>
      <c r="D541" s="61"/>
      <c r="E541" s="136"/>
      <c r="F541" s="129"/>
      <c r="G541" s="129"/>
      <c r="H541" s="143"/>
    </row>
    <row r="542" spans="1:8" ht="15" customHeight="1">
      <c r="A542" s="228"/>
      <c r="B542" s="229"/>
      <c r="C542" s="83"/>
      <c r="D542" s="83"/>
      <c r="E542" s="84">
        <f>SUM(E544:E546)</f>
        <v>2.129</v>
      </c>
      <c r="F542" s="129"/>
      <c r="G542" s="129"/>
      <c r="H542" s="143"/>
    </row>
    <row r="543" spans="1:18" ht="15" customHeight="1">
      <c r="A543" s="226" t="s">
        <v>5</v>
      </c>
      <c r="B543" s="226"/>
      <c r="C543" s="80" t="s">
        <v>17</v>
      </c>
      <c r="D543" s="81" t="s">
        <v>18</v>
      </c>
      <c r="E543" s="80" t="s">
        <v>7</v>
      </c>
      <c r="F543" s="129"/>
      <c r="G543" s="131" t="str">
        <f>CONCATENATE("Misc. Healthy parts/ Non Ferrous  Scrap, Lying at ",C544,". Quantity in MT - ")</f>
        <v>Misc. Healthy parts/ Non Ferrous  Scrap, Lying at TRY Kotkapura. Quantity in MT - </v>
      </c>
      <c r="H543" s="173" t="str">
        <f ca="1">CONCATENATE(G543,G544,(INDIRECT(I544)),(INDIRECT(J544)),(INDIRECT(K544)),(INDIRECT(L544)),(INDIRECT(M544)),(INDIRECT(N544)),(INDIRECT(O544)),(INDIRECT(P544)),(INDIRECT(Q544)),(INDIRECT(R544)),".")</f>
        <v>Misc. Healthy parts/ Non Ferrous  Scrap, Lying at TRY Kotkapura. Quantity in MT - Brass scrap - 1.754, Misc. Alumn. Scrap - 0.269, Iron scrap - 0.106, .</v>
      </c>
      <c r="I543" s="138" t="str">
        <f aca="true" ca="1" t="array" ref="I543">CELL("address",INDEX(G543:G565,MATCH(TRUE,ISBLANK(G543:G565),0)))</f>
        <v>$G$547</v>
      </c>
      <c r="J543" s="138">
        <f aca="true" t="array" ref="J543">MATCH(TRUE,ISBLANK(G543:G565),0)</f>
        <v>5</v>
      </c>
      <c r="K543" s="138">
        <f>J543-3</f>
        <v>2</v>
      </c>
      <c r="L543" s="138"/>
      <c r="M543" s="138"/>
      <c r="N543" s="138"/>
      <c r="O543" s="138"/>
      <c r="P543" s="138"/>
      <c r="Q543" s="138"/>
      <c r="R543" s="138"/>
    </row>
    <row r="544" spans="1:18" ht="15" customHeight="1">
      <c r="A544" s="226" t="s">
        <v>192</v>
      </c>
      <c r="B544" s="226"/>
      <c r="C544" s="227" t="s">
        <v>249</v>
      </c>
      <c r="D544" s="51" t="s">
        <v>23</v>
      </c>
      <c r="E544" s="53">
        <v>1.754</v>
      </c>
      <c r="F544" s="129"/>
      <c r="G544" s="129" t="str">
        <f>CONCATENATE(D544," - ",E544,", ")</f>
        <v>Brass scrap - 1.754, </v>
      </c>
      <c r="H544" s="173"/>
      <c r="I544" s="138" t="str">
        <f ca="1">IF(J543&gt;=3,(MID(I543,2,1)&amp;MID(I543,4,4)-K543),CELL("address",Z544))</f>
        <v>G545</v>
      </c>
      <c r="J544" s="138" t="str">
        <f ca="1">IF(J543&gt;=4,(MID(I544,1,1)&amp;MID(I544,2,4)+1),CELL("address",AA544))</f>
        <v>G546</v>
      </c>
      <c r="K544" s="138" t="str">
        <f ca="1">IF(J543&gt;=5,(MID(J544,1,1)&amp;MID(J544,2,4)+1),CELL("address",AB544))</f>
        <v>G547</v>
      </c>
      <c r="L544" s="138" t="str">
        <f ca="1">IF(J543&gt;=6,(MID(K544,1,1)&amp;MID(K544,2,4)+1),CELL("address",AC544))</f>
        <v>$AC$544</v>
      </c>
      <c r="M544" s="138" t="str">
        <f ca="1">IF(J543&gt;=7,(MID(L544,1,1)&amp;MID(L544,2,4)+1),CELL("address",AD544))</f>
        <v>$AD$544</v>
      </c>
      <c r="N544" s="138" t="str">
        <f ca="1">IF(J543&gt;=8,(MID(M544,1,1)&amp;MID(M544,2,4)+1),CELL("address",AE544))</f>
        <v>$AE$544</v>
      </c>
      <c r="O544" s="138" t="str">
        <f ca="1">IF(J543&gt;=9,(MID(N544,1,1)&amp;MID(N544,2,4)+1),CELL("address",AF544))</f>
        <v>$AF$544</v>
      </c>
      <c r="P544" s="138" t="str">
        <f ca="1">IF(J543&gt;=10,(MID(O544,1,1)&amp;MID(O544,2,4)+1),CELL("address",AG544))</f>
        <v>$AG$544</v>
      </c>
      <c r="Q544" s="138" t="str">
        <f ca="1">IF(J543&gt;=11,(MID(P544,1,1)&amp;MID(P544,2,4)+1),CELL("address",AH544))</f>
        <v>$AH$544</v>
      </c>
      <c r="R544" s="138" t="str">
        <f ca="1">IF(J543&gt;=12,(MID(Q544,1,1)&amp;MID(Q544,2,4)+1),CELL("address",AI544))</f>
        <v>$AI$544</v>
      </c>
    </row>
    <row r="545" spans="1:8" ht="15" customHeight="1">
      <c r="A545" s="226"/>
      <c r="B545" s="226"/>
      <c r="C545" s="227"/>
      <c r="D545" s="51" t="s">
        <v>31</v>
      </c>
      <c r="E545" s="80">
        <v>0.269</v>
      </c>
      <c r="F545" s="129"/>
      <c r="G545" s="129" t="str">
        <f>CONCATENATE(D545," - ",E545,", ")</f>
        <v>Misc. Alumn. Scrap - 0.269, </v>
      </c>
      <c r="H545" s="143"/>
    </row>
    <row r="546" spans="1:8" ht="15" customHeight="1">
      <c r="A546" s="226"/>
      <c r="B546" s="226"/>
      <c r="C546" s="227"/>
      <c r="D546" s="46" t="s">
        <v>27</v>
      </c>
      <c r="E546" s="80">
        <v>0.106</v>
      </c>
      <c r="F546" s="129"/>
      <c r="G546" s="146" t="str">
        <f>CONCATENATE(D546," - ",E546,", ")</f>
        <v>Iron scrap - 0.106, </v>
      </c>
      <c r="H546" s="142"/>
    </row>
    <row r="547" spans="1:8" ht="15" customHeight="1">
      <c r="A547" s="233"/>
      <c r="B547" s="235"/>
      <c r="C547" s="179"/>
      <c r="D547" s="180"/>
      <c r="E547" s="151"/>
      <c r="F547" s="129"/>
      <c r="G547" s="129"/>
      <c r="H547" s="142"/>
    </row>
    <row r="548" spans="1:8" ht="15" customHeight="1">
      <c r="A548" s="228"/>
      <c r="B548" s="229"/>
      <c r="C548" s="83"/>
      <c r="D548" s="83"/>
      <c r="E548" s="84">
        <f>SUM(E550:E553)</f>
        <v>1.557</v>
      </c>
      <c r="F548" s="129"/>
      <c r="G548" s="129"/>
      <c r="H548" s="142"/>
    </row>
    <row r="549" spans="1:18" ht="15" customHeight="1">
      <c r="A549" s="233" t="s">
        <v>5</v>
      </c>
      <c r="B549" s="235"/>
      <c r="C549" s="80" t="s">
        <v>17</v>
      </c>
      <c r="D549" s="81" t="s">
        <v>18</v>
      </c>
      <c r="E549" s="80" t="s">
        <v>7</v>
      </c>
      <c r="F549" s="129"/>
      <c r="G549" s="131" t="str">
        <f>CONCATENATE("Misc. Healthy parts/ Non Ferrous  Scrap, Lying at ",C550,". Quantity in MT - ")</f>
        <v>Misc. Healthy parts/ Non Ferrous  Scrap, Lying at TRY Mansa. Quantity in MT - </v>
      </c>
      <c r="H549" s="173" t="str">
        <f ca="1">CONCATENATE(G549,G550,(INDIRECT(I550)),(INDIRECT(J550)),(INDIRECT(K550)),(INDIRECT(L550)),(INDIRECT(M550)),(INDIRECT(N550)),(INDIRECT(O550)),(INDIRECT(P550)),(INDIRECT(Q550)),(INDIRECT(R550)),".")</f>
        <v>Misc. Healthy parts/ Non Ferrous  Scrap, Lying at TRY Mansa. Quantity in MT - Brass scrap - 1.302, Misc. Aluminium scrap - 0.147, Burnt Cu scrap - 0.027,  Iron scrap - 0.081, .</v>
      </c>
      <c r="I549" s="138" t="str">
        <f aca="true" ca="1" t="array" ref="I549">CELL("address",INDEX(G549:G571,MATCH(TRUE,ISBLANK(G549:G571),0)))</f>
        <v>$G$554</v>
      </c>
      <c r="J549" s="138">
        <f aca="true" t="array" ref="J549">MATCH(TRUE,ISBLANK(G549:G571),0)</f>
        <v>6</v>
      </c>
      <c r="K549" s="138">
        <f>J549-3</f>
        <v>3</v>
      </c>
      <c r="L549" s="138"/>
      <c r="M549" s="138"/>
      <c r="N549" s="138"/>
      <c r="O549" s="138"/>
      <c r="P549" s="138"/>
      <c r="Q549" s="138"/>
      <c r="R549" s="138"/>
    </row>
    <row r="550" spans="1:18" ht="15" customHeight="1">
      <c r="A550" s="226" t="s">
        <v>236</v>
      </c>
      <c r="B550" s="226"/>
      <c r="C550" s="227" t="s">
        <v>167</v>
      </c>
      <c r="D550" s="46" t="s">
        <v>23</v>
      </c>
      <c r="E550" s="52">
        <v>1.302</v>
      </c>
      <c r="F550" s="129"/>
      <c r="G550" s="129" t="str">
        <f>CONCATENATE(D550," - ",E550,", ")</f>
        <v>Brass scrap - 1.302, </v>
      </c>
      <c r="H550" s="173"/>
      <c r="I550" s="138" t="str">
        <f ca="1">IF(J549&gt;=3,(MID(I549,2,1)&amp;MID(I549,4,4)-K549),CELL("address",Z550))</f>
        <v>G551</v>
      </c>
      <c r="J550" s="138" t="str">
        <f ca="1">IF(J549&gt;=4,(MID(I550,1,1)&amp;MID(I550,2,4)+1),CELL("address",AA550))</f>
        <v>G552</v>
      </c>
      <c r="K550" s="138" t="str">
        <f ca="1">IF(J549&gt;=5,(MID(J550,1,1)&amp;MID(J550,2,4)+1),CELL("address",AB550))</f>
        <v>G553</v>
      </c>
      <c r="L550" s="138" t="str">
        <f ca="1">IF(J549&gt;=6,(MID(K550,1,1)&amp;MID(K550,2,4)+1),CELL("address",AC550))</f>
        <v>G554</v>
      </c>
      <c r="M550" s="138" t="str">
        <f ca="1">IF(J549&gt;=7,(MID(L550,1,1)&amp;MID(L550,2,4)+1),CELL("address",AD550))</f>
        <v>$AD$550</v>
      </c>
      <c r="N550" s="138" t="str">
        <f ca="1">IF(J549&gt;=8,(MID(M550,1,1)&amp;MID(M550,2,4)+1),CELL("address",AE550))</f>
        <v>$AE$550</v>
      </c>
      <c r="O550" s="138" t="str">
        <f ca="1">IF(J549&gt;=9,(MID(N550,1,1)&amp;MID(N550,2,4)+1),CELL("address",AF550))</f>
        <v>$AF$550</v>
      </c>
      <c r="P550" s="138" t="str">
        <f ca="1">IF(J549&gt;=10,(MID(O550,1,1)&amp;MID(O550,2,4)+1),CELL("address",AG550))</f>
        <v>$AG$550</v>
      </c>
      <c r="Q550" s="138" t="str">
        <f ca="1">IF(J549&gt;=11,(MID(P550,1,1)&amp;MID(P550,2,4)+1),CELL("address",AH550))</f>
        <v>$AH$550</v>
      </c>
      <c r="R550" s="138" t="str">
        <f ca="1">IF(J549&gt;=12,(MID(Q550,1,1)&amp;MID(Q550,2,4)+1),CELL("address",AI550))</f>
        <v>$AI$550</v>
      </c>
    </row>
    <row r="551" spans="1:8" ht="15" customHeight="1">
      <c r="A551" s="226"/>
      <c r="B551" s="226"/>
      <c r="C551" s="227"/>
      <c r="D551" s="46" t="s">
        <v>24</v>
      </c>
      <c r="E551" s="52">
        <v>0.147</v>
      </c>
      <c r="F551" s="129"/>
      <c r="G551" s="129" t="str">
        <f>CONCATENATE(D551," - ",E551,", ")</f>
        <v>Misc. Aluminium scrap - 0.147, </v>
      </c>
      <c r="H551" s="142"/>
    </row>
    <row r="552" spans="1:8" ht="15" customHeight="1">
      <c r="A552" s="226"/>
      <c r="B552" s="226"/>
      <c r="C552" s="227"/>
      <c r="D552" s="46" t="s">
        <v>37</v>
      </c>
      <c r="E552" s="52">
        <v>0.027</v>
      </c>
      <c r="F552" s="129"/>
      <c r="G552" s="129" t="str">
        <f>CONCATENATE(D552," - ",E552,", ")</f>
        <v>Burnt Cu scrap - 0.027, </v>
      </c>
      <c r="H552" s="142"/>
    </row>
    <row r="553" spans="1:8" ht="15" customHeight="1">
      <c r="A553" s="226"/>
      <c r="B553" s="226"/>
      <c r="C553" s="227"/>
      <c r="D553" s="51" t="s">
        <v>76</v>
      </c>
      <c r="E553" s="52">
        <v>0.081</v>
      </c>
      <c r="F553" s="129"/>
      <c r="G553" s="129" t="str">
        <f>CONCATENATE(D553," - ",E553,", ")</f>
        <v> Iron scrap - 0.081, </v>
      </c>
      <c r="H553" s="144"/>
    </row>
    <row r="554" spans="1:8" ht="15" customHeight="1">
      <c r="A554" s="41"/>
      <c r="B554" s="1"/>
      <c r="C554" s="1"/>
      <c r="D554" s="1"/>
      <c r="E554" s="1"/>
      <c r="F554" s="129"/>
      <c r="G554" s="129"/>
      <c r="H554" s="142"/>
    </row>
    <row r="555" spans="1:8" ht="15" customHeight="1">
      <c r="A555" s="228"/>
      <c r="B555" s="229"/>
      <c r="C555" s="83"/>
      <c r="D555" s="83"/>
      <c r="E555" s="84">
        <f>SUM(E557:E561)</f>
        <v>2.086</v>
      </c>
      <c r="F555" s="129"/>
      <c r="G555" s="129"/>
      <c r="H555" s="142"/>
    </row>
    <row r="556" spans="1:18" ht="15" customHeight="1">
      <c r="A556" s="233" t="s">
        <v>5</v>
      </c>
      <c r="B556" s="235"/>
      <c r="C556" s="80" t="s">
        <v>17</v>
      </c>
      <c r="D556" s="81" t="s">
        <v>18</v>
      </c>
      <c r="E556" s="80" t="s">
        <v>7</v>
      </c>
      <c r="F556" s="129"/>
      <c r="G556" s="131" t="str">
        <f>CONCATENATE("Misc. Healthy parts/ Non Ferrous  Scrap, Lying at ",C557,". Quantity in MT - ")</f>
        <v>Misc. Healthy parts/ Non Ferrous  Scrap, Lying at TRY Bhagta Bhai Ka. Quantity in MT - </v>
      </c>
      <c r="H556" s="251" t="str">
        <f ca="1">CONCATENATE(G556,G557,(INDIRECT(I557)),(INDIRECT(J557)),(INDIRECT(K557)),(INDIRECT(L557)),(INDIRECT(M557)),(INDIRECT(N557)),(INDIRECT(O557)),(INDIRECT(P557)),(INDIRECT(Q557)),(INDIRECT(R557)),".")</f>
        <v>Misc. Healthy parts/ Non Ferrous  Scrap, Lying at TRY Bhagta Bhai Ka. Quantity in MT - Brass scrap - 1.22, Misc. Aluminium scrap - 0.151, Burnt Cu scrap - 0.037,  Iron scrap - 0.088, Nuts &amp; Bolts scrap - 0.59, .</v>
      </c>
      <c r="I556" s="138" t="str">
        <f aca="true" ca="1" t="array" ref="I556">CELL("address",INDEX(G556:G578,MATCH(TRUE,ISBLANK(G556:G578),0)))</f>
        <v>$G$562</v>
      </c>
      <c r="J556" s="138">
        <f aca="true" t="array" ref="J556">MATCH(TRUE,ISBLANK(G556:G578),0)</f>
        <v>7</v>
      </c>
      <c r="K556" s="138">
        <f>J556-3</f>
        <v>4</v>
      </c>
      <c r="L556" s="138"/>
      <c r="M556" s="138"/>
      <c r="N556" s="138"/>
      <c r="O556" s="138"/>
      <c r="P556" s="138"/>
      <c r="Q556" s="138"/>
      <c r="R556" s="138"/>
    </row>
    <row r="557" spans="1:18" ht="15" customHeight="1">
      <c r="A557" s="239" t="s">
        <v>251</v>
      </c>
      <c r="B557" s="240"/>
      <c r="C557" s="245" t="s">
        <v>133</v>
      </c>
      <c r="D557" s="46" t="s">
        <v>23</v>
      </c>
      <c r="E557" s="52">
        <v>1.22</v>
      </c>
      <c r="F557" s="129"/>
      <c r="G557" s="129" t="str">
        <f>CONCATENATE(D557," - ",E557,", ")</f>
        <v>Brass scrap - 1.22, </v>
      </c>
      <c r="H557" s="252"/>
      <c r="I557" s="138" t="str">
        <f ca="1">IF(J556&gt;=3,(MID(I556,2,1)&amp;MID(I556,4,4)-K556),CELL("address",Z557))</f>
        <v>G558</v>
      </c>
      <c r="J557" s="138" t="str">
        <f ca="1">IF(J556&gt;=4,(MID(I557,1,1)&amp;MID(I557,2,4)+1),CELL("address",AA557))</f>
        <v>G559</v>
      </c>
      <c r="K557" s="138" t="str">
        <f ca="1">IF(J556&gt;=5,(MID(J557,1,1)&amp;MID(J557,2,4)+1),CELL("address",AB557))</f>
        <v>G560</v>
      </c>
      <c r="L557" s="138" t="str">
        <f ca="1">IF(J556&gt;=6,(MID(K557,1,1)&amp;MID(K557,2,4)+1),CELL("address",AC557))</f>
        <v>G561</v>
      </c>
      <c r="M557" s="138" t="str">
        <f ca="1">IF(J556&gt;=7,(MID(L557,1,1)&amp;MID(L557,2,4)+1),CELL("address",AD557))</f>
        <v>G562</v>
      </c>
      <c r="N557" s="138" t="str">
        <f ca="1">IF(J556&gt;=8,(MID(M557,1,1)&amp;MID(M557,2,4)+1),CELL("address",AE557))</f>
        <v>$AE$557</v>
      </c>
      <c r="O557" s="138" t="str">
        <f ca="1">IF(J556&gt;=9,(MID(N557,1,1)&amp;MID(N557,2,4)+1),CELL("address",AF557))</f>
        <v>$AF$557</v>
      </c>
      <c r="P557" s="138" t="str">
        <f ca="1">IF(J556&gt;=10,(MID(O557,1,1)&amp;MID(O557,2,4)+1),CELL("address",AG557))</f>
        <v>$AG$557</v>
      </c>
      <c r="Q557" s="138" t="str">
        <f ca="1">IF(J556&gt;=11,(MID(P557,1,1)&amp;MID(P557,2,4)+1),CELL("address",AH557))</f>
        <v>$AH$557</v>
      </c>
      <c r="R557" s="138" t="str">
        <f ca="1">IF(J556&gt;=12,(MID(Q557,1,1)&amp;MID(Q557,2,4)+1),CELL("address",AI557))</f>
        <v>$AI$557</v>
      </c>
    </row>
    <row r="558" spans="1:8" ht="15" customHeight="1">
      <c r="A558" s="241"/>
      <c r="B558" s="242"/>
      <c r="C558" s="246"/>
      <c r="D558" s="46" t="s">
        <v>24</v>
      </c>
      <c r="E558" s="52">
        <v>0.151</v>
      </c>
      <c r="F558" s="129"/>
      <c r="G558" s="129" t="str">
        <f>CONCATENATE(D558," - ",E558,", ")</f>
        <v>Misc. Aluminium scrap - 0.151, </v>
      </c>
      <c r="H558" s="142"/>
    </row>
    <row r="559" spans="1:8" ht="15" customHeight="1">
      <c r="A559" s="241"/>
      <c r="B559" s="242"/>
      <c r="C559" s="246"/>
      <c r="D559" s="46" t="s">
        <v>37</v>
      </c>
      <c r="E559" s="52">
        <v>0.037</v>
      </c>
      <c r="F559" s="129"/>
      <c r="G559" s="129" t="str">
        <f>CONCATENATE(D559," - ",E559,", ")</f>
        <v>Burnt Cu scrap - 0.037, </v>
      </c>
      <c r="H559" s="142"/>
    </row>
    <row r="560" spans="1:8" ht="15" customHeight="1">
      <c r="A560" s="241"/>
      <c r="B560" s="242"/>
      <c r="C560" s="246"/>
      <c r="D560" s="51" t="s">
        <v>76</v>
      </c>
      <c r="E560" s="52">
        <v>0.088</v>
      </c>
      <c r="F560" s="129"/>
      <c r="G560" s="129" t="str">
        <f>CONCATENATE(D560," - ",E560,", ")</f>
        <v> Iron scrap - 0.088, </v>
      </c>
      <c r="H560" s="142"/>
    </row>
    <row r="561" spans="1:8" ht="15" customHeight="1">
      <c r="A561" s="243"/>
      <c r="B561" s="244"/>
      <c r="C561" s="247"/>
      <c r="D561" s="46" t="s">
        <v>59</v>
      </c>
      <c r="E561" s="52">
        <v>0.59</v>
      </c>
      <c r="F561" s="129"/>
      <c r="G561" s="129" t="str">
        <f>CONCATENATE(D561," - ",E561,", ")</f>
        <v>Nuts &amp; Bolts scrap - 0.59, </v>
      </c>
      <c r="H561" s="142"/>
    </row>
    <row r="562" spans="1:8" ht="15" customHeight="1">
      <c r="A562" s="58"/>
      <c r="B562" s="61"/>
      <c r="C562" s="22"/>
      <c r="D562" s="61"/>
      <c r="E562" s="136"/>
      <c r="F562" s="129"/>
      <c r="G562" s="133"/>
      <c r="H562" s="142"/>
    </row>
    <row r="563" spans="1:8" ht="15" customHeight="1">
      <c r="A563" s="228"/>
      <c r="B563" s="229"/>
      <c r="C563" s="83"/>
      <c r="D563" s="83"/>
      <c r="E563" s="169">
        <f>SUM(E565:E565)</f>
        <v>0.021</v>
      </c>
      <c r="F563" s="129"/>
      <c r="G563" s="133"/>
      <c r="H563" s="142"/>
    </row>
    <row r="564" spans="1:18" ht="15" customHeight="1">
      <c r="A564" s="226" t="s">
        <v>5</v>
      </c>
      <c r="B564" s="226"/>
      <c r="C564" s="80" t="s">
        <v>17</v>
      </c>
      <c r="D564" s="81" t="s">
        <v>18</v>
      </c>
      <c r="E564" s="85" t="s">
        <v>7</v>
      </c>
      <c r="F564" s="129"/>
      <c r="G564" s="131" t="str">
        <f>CONCATENATE("Misc. Healthy parts/ Non Ferrous  Scrap, Lying at ",C565,". Quantity in MT - ")</f>
        <v>Misc. Healthy parts/ Non Ferrous  Scrap, Lying at OL Barnala. Quantity in MT - </v>
      </c>
      <c r="H564" s="173" t="str">
        <f ca="1">CONCATENATE(G564,G565,(INDIRECT(I565)),(INDIRECT(J565)),(INDIRECT(K565)),(INDIRECT(L565)),(INDIRECT(M565)),(INDIRECT(N565)),(INDIRECT(O565)),(INDIRECT(P565)),(INDIRECT(Q565)),(INDIRECT(R565)),".")</f>
        <v>Misc. Healthy parts/ Non Ferrous  Scrap, Lying at OL Barnala. Quantity in MT - Misc. copper scrap - 0.021, .</v>
      </c>
      <c r="I564" s="138" t="str">
        <f aca="true" ca="1" t="array" ref="I564">CELL("address",INDEX(G564:G586,MATCH(TRUE,ISBLANK(G564:G586),0)))</f>
        <v>$G$566</v>
      </c>
      <c r="J564" s="138">
        <f aca="true" t="array" ref="J564">MATCH(TRUE,ISBLANK(G564:G586),0)</f>
        <v>3</v>
      </c>
      <c r="K564" s="138">
        <f>J564-3</f>
        <v>0</v>
      </c>
      <c r="L564" s="138"/>
      <c r="M564" s="138"/>
      <c r="N564" s="138"/>
      <c r="O564" s="138"/>
      <c r="P564" s="138"/>
      <c r="Q564" s="138"/>
      <c r="R564" s="138"/>
    </row>
    <row r="565" spans="1:18" ht="15" customHeight="1">
      <c r="A565" s="226" t="s">
        <v>271</v>
      </c>
      <c r="B565" s="226"/>
      <c r="C565" s="179" t="s">
        <v>188</v>
      </c>
      <c r="D565" s="74" t="s">
        <v>113</v>
      </c>
      <c r="E565" s="86">
        <v>0.021</v>
      </c>
      <c r="F565" s="129"/>
      <c r="G565" s="129" t="str">
        <f>CONCATENATE(D565," - ",E565,", ")</f>
        <v>Misc. copper scrap - 0.021, </v>
      </c>
      <c r="H565" s="173"/>
      <c r="I565" s="138" t="str">
        <f ca="1">IF(J564&gt;=3,(MID(I564,2,1)&amp;MID(I564,4,4)-K564),CELL("address",Z565))</f>
        <v>G566</v>
      </c>
      <c r="J565" s="138" t="str">
        <f ca="1">IF(J564&gt;=4,(MID(I565,1,1)&amp;MID(I565,2,4)+1),CELL("address",AA565))</f>
        <v>$AA$565</v>
      </c>
      <c r="K565" s="138" t="str">
        <f ca="1">IF(J564&gt;=5,(MID(J565,1,1)&amp;MID(J565,2,4)+1),CELL("address",AB565))</f>
        <v>$AB$565</v>
      </c>
      <c r="L565" s="138" t="str">
        <f ca="1">IF(J564&gt;=6,(MID(K565,1,1)&amp;MID(K565,2,4)+1),CELL("address",AC565))</f>
        <v>$AC$565</v>
      </c>
      <c r="M565" s="138" t="str">
        <f ca="1">IF(J564&gt;=7,(MID(L565,1,1)&amp;MID(L565,2,4)+1),CELL("address",AD565))</f>
        <v>$AD$565</v>
      </c>
      <c r="N565" s="138" t="str">
        <f ca="1">IF(J564&gt;=8,(MID(M565,1,1)&amp;MID(M565,2,4)+1),CELL("address",AE565))</f>
        <v>$AE$565</v>
      </c>
      <c r="O565" s="138" t="str">
        <f ca="1">IF(J564&gt;=9,(MID(N565,1,1)&amp;MID(N565,2,4)+1),CELL("address",AF565))</f>
        <v>$AF$565</v>
      </c>
      <c r="P565" s="138" t="str">
        <f ca="1">IF(J564&gt;=10,(MID(O565,1,1)&amp;MID(O565,2,4)+1),CELL("address",AG565))</f>
        <v>$AG$565</v>
      </c>
      <c r="Q565" s="138" t="str">
        <f ca="1">IF(J564&gt;=11,(MID(P565,1,1)&amp;MID(P565,2,4)+1),CELL("address",AH565))</f>
        <v>$AH$565</v>
      </c>
      <c r="R565" s="138" t="str">
        <f ca="1">IF(J564&gt;=12,(MID(Q565,1,1)&amp;MID(Q565,2,4)+1),CELL("address",AI565))</f>
        <v>$AI$565</v>
      </c>
    </row>
    <row r="566" spans="1:8" ht="15" customHeight="1">
      <c r="A566" s="41"/>
      <c r="B566" s="1"/>
      <c r="C566" s="1"/>
      <c r="D566" s="1"/>
      <c r="E566" s="1"/>
      <c r="F566" s="129"/>
      <c r="H566" s="142"/>
    </row>
    <row r="567" spans="1:8" ht="15" customHeight="1">
      <c r="A567" s="228"/>
      <c r="B567" s="229"/>
      <c r="C567" s="83"/>
      <c r="D567" s="83"/>
      <c r="E567" s="169">
        <f>SUM(E569:E571)</f>
        <v>1.097</v>
      </c>
      <c r="F567" s="129"/>
      <c r="H567" s="142"/>
    </row>
    <row r="568" spans="1:18" ht="15" customHeight="1">
      <c r="A568" s="226" t="s">
        <v>5</v>
      </c>
      <c r="B568" s="226"/>
      <c r="C568" s="80" t="s">
        <v>17</v>
      </c>
      <c r="D568" s="81" t="s">
        <v>18</v>
      </c>
      <c r="E568" s="85" t="s">
        <v>7</v>
      </c>
      <c r="F568" s="129"/>
      <c r="G568" s="131" t="str">
        <f>CONCATENATE("Misc. Healthy parts/ Non Ferrous  Scrap, Lying at ",C569,". Quantity in MT - ")</f>
        <v>Misc. Healthy parts/ Non Ferrous  Scrap, Lying at TRY Moga. Quantity in MT - </v>
      </c>
      <c r="H568" s="173" t="str">
        <f ca="1">CONCATENATE(G568,G569,(INDIRECT(I569)),(INDIRECT(J569)),(INDIRECT(K569)),(INDIRECT(L569)),(INDIRECT(M569)),(INDIRECT(N569)),(INDIRECT(O569)),(INDIRECT(P569)),(INDIRECT(Q569)),(INDIRECT(R569)),".")</f>
        <v>Misc. Healthy parts/ Non Ferrous  Scrap, Lying at TRY Moga. Quantity in MT - Brass scrap - 0.911, Misc. Alumn. Scrap - 0.125, Iron scrap - 0.061, .</v>
      </c>
      <c r="I568" s="138" t="str">
        <f aca="true" ca="1" t="array" ref="I568">CELL("address",INDEX(G568:G590,MATCH(TRUE,ISBLANK(G568:G590),0)))</f>
        <v>$G$572</v>
      </c>
      <c r="J568" s="138">
        <f aca="true" t="array" ref="J568">MATCH(TRUE,ISBLANK(G568:G590),0)</f>
        <v>5</v>
      </c>
      <c r="K568" s="138">
        <f>J568-3</f>
        <v>2</v>
      </c>
      <c r="L568" s="138"/>
      <c r="M568" s="138"/>
      <c r="N568" s="138"/>
      <c r="O568" s="138"/>
      <c r="P568" s="138"/>
      <c r="Q568" s="138"/>
      <c r="R568" s="138"/>
    </row>
    <row r="569" spans="1:18" ht="15" customHeight="1">
      <c r="A569" s="226" t="s">
        <v>275</v>
      </c>
      <c r="B569" s="226"/>
      <c r="C569" s="227" t="s">
        <v>220</v>
      </c>
      <c r="D569" s="51" t="s">
        <v>23</v>
      </c>
      <c r="E569" s="170">
        <v>0.911</v>
      </c>
      <c r="F569" s="129"/>
      <c r="G569" s="129" t="str">
        <f>CONCATENATE(D569," - ",E569,", ")</f>
        <v>Brass scrap - 0.911, </v>
      </c>
      <c r="H569" s="173"/>
      <c r="I569" s="138" t="str">
        <f ca="1">IF(J568&gt;=3,(MID(I568,2,1)&amp;MID(I568,4,4)-K568),CELL("address",Z569))</f>
        <v>G570</v>
      </c>
      <c r="J569" s="138" t="str">
        <f ca="1">IF(J568&gt;=4,(MID(I569,1,1)&amp;MID(I569,2,4)+1),CELL("address",AA569))</f>
        <v>G571</v>
      </c>
      <c r="K569" s="138" t="str">
        <f ca="1">IF(J568&gt;=5,(MID(J569,1,1)&amp;MID(J569,2,4)+1),CELL("address",AB569))</f>
        <v>G572</v>
      </c>
      <c r="L569" s="138" t="str">
        <f ca="1">IF(J568&gt;=6,(MID(K569,1,1)&amp;MID(K569,2,4)+1),CELL("address",AC569))</f>
        <v>$AC$569</v>
      </c>
      <c r="M569" s="138" t="str">
        <f ca="1">IF(J568&gt;=7,(MID(L569,1,1)&amp;MID(L569,2,4)+1),CELL("address",AD569))</f>
        <v>$AD$569</v>
      </c>
      <c r="N569" s="138" t="str">
        <f ca="1">IF(J568&gt;=8,(MID(M569,1,1)&amp;MID(M569,2,4)+1),CELL("address",AE569))</f>
        <v>$AE$569</v>
      </c>
      <c r="O569" s="138" t="str">
        <f ca="1">IF(J568&gt;=9,(MID(N569,1,1)&amp;MID(N569,2,4)+1),CELL("address",AF569))</f>
        <v>$AF$569</v>
      </c>
      <c r="P569" s="138" t="str">
        <f ca="1">IF(J568&gt;=10,(MID(O569,1,1)&amp;MID(O569,2,4)+1),CELL("address",AG569))</f>
        <v>$AG$569</v>
      </c>
      <c r="Q569" s="138" t="str">
        <f ca="1">IF(J568&gt;=11,(MID(P569,1,1)&amp;MID(P569,2,4)+1),CELL("address",AH569))</f>
        <v>$AH$569</v>
      </c>
      <c r="R569" s="138" t="str">
        <f ca="1">IF(J568&gt;=12,(MID(Q569,1,1)&amp;MID(Q569,2,4)+1),CELL("address",AI569))</f>
        <v>$AI$569</v>
      </c>
    </row>
    <row r="570" spans="1:8" ht="15" customHeight="1">
      <c r="A570" s="226"/>
      <c r="B570" s="226"/>
      <c r="C570" s="227"/>
      <c r="D570" s="51" t="s">
        <v>31</v>
      </c>
      <c r="E570" s="85">
        <v>0.125</v>
      </c>
      <c r="F570" s="129"/>
      <c r="G570" s="171" t="str">
        <f>CONCATENATE(D570," - ",E570,", ")</f>
        <v>Misc. Alumn. Scrap - 0.125, </v>
      </c>
      <c r="H570" s="142"/>
    </row>
    <row r="571" spans="1:8" ht="15" customHeight="1">
      <c r="A571" s="226"/>
      <c r="B571" s="226"/>
      <c r="C571" s="227"/>
      <c r="D571" s="46" t="s">
        <v>27</v>
      </c>
      <c r="E571" s="85">
        <v>0.061</v>
      </c>
      <c r="F571" s="129"/>
      <c r="G571" s="171" t="str">
        <f>CONCATENATE(D571," - ",E571,", ")</f>
        <v>Iron scrap - 0.061, </v>
      </c>
      <c r="H571" s="142"/>
    </row>
    <row r="572" spans="1:8" ht="15" customHeight="1">
      <c r="A572" s="41"/>
      <c r="B572" s="1"/>
      <c r="C572" s="1"/>
      <c r="D572" s="1"/>
      <c r="E572" s="1"/>
      <c r="H572" s="140"/>
    </row>
    <row r="573" spans="1:8" ht="15" customHeight="1">
      <c r="A573" s="41"/>
      <c r="B573" s="1"/>
      <c r="C573" s="1"/>
      <c r="D573" s="1"/>
      <c r="E573" s="1"/>
      <c r="H573" s="140"/>
    </row>
    <row r="574" spans="1:8" ht="15" customHeight="1">
      <c r="A574" s="41"/>
      <c r="B574" s="1"/>
      <c r="C574" s="1"/>
      <c r="D574" s="1"/>
      <c r="E574" s="1"/>
      <c r="H574" s="140"/>
    </row>
    <row r="575" spans="1:8" ht="15" customHeight="1">
      <c r="A575" s="41"/>
      <c r="B575" s="1"/>
      <c r="C575" s="1"/>
      <c r="D575" s="1"/>
      <c r="E575" s="1"/>
      <c r="H575" s="140"/>
    </row>
    <row r="576" spans="1:8" ht="15" customHeight="1">
      <c r="A576" s="41"/>
      <c r="B576" s="1"/>
      <c r="C576" s="1"/>
      <c r="D576" s="1"/>
      <c r="E576" s="1"/>
      <c r="H576" s="140"/>
    </row>
    <row r="577" spans="1:8" ht="15" customHeight="1">
      <c r="A577" s="41"/>
      <c r="B577" s="1"/>
      <c r="C577" s="1"/>
      <c r="D577" s="1"/>
      <c r="E577" s="1"/>
      <c r="H577" s="140"/>
    </row>
    <row r="578" spans="1:8" ht="15" customHeight="1">
      <c r="A578" s="41"/>
      <c r="B578" s="1"/>
      <c r="C578" s="1"/>
      <c r="D578" s="1"/>
      <c r="E578" s="1"/>
      <c r="H578" s="140"/>
    </row>
    <row r="579" spans="1:8" ht="15" customHeight="1">
      <c r="A579" s="41"/>
      <c r="B579" s="1"/>
      <c r="C579" s="1"/>
      <c r="D579" s="1"/>
      <c r="E579" s="1"/>
      <c r="H579" s="140"/>
    </row>
    <row r="580" spans="1:8" ht="15" customHeight="1">
      <c r="A580" s="41"/>
      <c r="B580" s="1"/>
      <c r="C580" s="1"/>
      <c r="D580" s="1"/>
      <c r="E580" s="1"/>
      <c r="H580" s="140"/>
    </row>
    <row r="581" spans="1:8" ht="15" customHeight="1">
      <c r="A581" s="41"/>
      <c r="B581" s="1"/>
      <c r="C581" s="1"/>
      <c r="D581" s="1"/>
      <c r="E581" s="1"/>
      <c r="H581" s="140"/>
    </row>
    <row r="582" spans="1:8" ht="15" customHeight="1">
      <c r="A582" s="41"/>
      <c r="B582" s="1"/>
      <c r="C582" s="1"/>
      <c r="D582" s="1"/>
      <c r="E582" s="1"/>
      <c r="H582" s="140"/>
    </row>
    <row r="583" spans="1:8" ht="15" customHeight="1">
      <c r="A583" s="41"/>
      <c r="B583" s="1"/>
      <c r="C583" s="1"/>
      <c r="D583" s="1"/>
      <c r="E583" s="1"/>
      <c r="H583" s="140"/>
    </row>
    <row r="584" spans="1:8" ht="15" customHeight="1">
      <c r="A584" s="41"/>
      <c r="B584" s="1"/>
      <c r="C584" s="1"/>
      <c r="D584" s="1"/>
      <c r="E584" s="1"/>
      <c r="H584" s="140"/>
    </row>
    <row r="585" spans="1:8" ht="15" customHeight="1">
      <c r="A585" s="41"/>
      <c r="B585" s="1"/>
      <c r="C585" s="1"/>
      <c r="D585" s="1"/>
      <c r="E585" s="1"/>
      <c r="H585" s="140"/>
    </row>
    <row r="586" spans="1:8" ht="15" customHeight="1">
      <c r="A586" s="41"/>
      <c r="B586" s="1"/>
      <c r="C586" s="1"/>
      <c r="D586" s="1"/>
      <c r="E586" s="1"/>
      <c r="H586" s="140"/>
    </row>
    <row r="587" spans="1:8" ht="15" customHeight="1">
      <c r="A587" s="41"/>
      <c r="B587" s="1"/>
      <c r="C587" s="1"/>
      <c r="D587" s="1"/>
      <c r="E587" s="1"/>
      <c r="H587" s="140"/>
    </row>
    <row r="588" spans="1:8" ht="15" customHeight="1">
      <c r="A588" s="41"/>
      <c r="B588" s="1"/>
      <c r="C588" s="1"/>
      <c r="D588" s="1"/>
      <c r="E588" s="1"/>
      <c r="H588" s="140"/>
    </row>
    <row r="589" spans="1:8" ht="15" customHeight="1">
      <c r="A589" s="41"/>
      <c r="B589" s="1"/>
      <c r="C589" s="1"/>
      <c r="D589" s="1"/>
      <c r="E589" s="1"/>
      <c r="H589" s="140"/>
    </row>
    <row r="590" spans="1:8" ht="15" customHeight="1">
      <c r="A590" s="1"/>
      <c r="B590" s="1"/>
      <c r="C590" s="1"/>
      <c r="D590" s="1"/>
      <c r="E590" s="1"/>
      <c r="H590" s="140"/>
    </row>
    <row r="591" spans="1:8" ht="15" customHeight="1">
      <c r="A591" s="1"/>
      <c r="B591" s="1"/>
      <c r="C591" s="1"/>
      <c r="D591" s="1"/>
      <c r="E591" s="1"/>
      <c r="H591" s="140"/>
    </row>
    <row r="592" spans="1:8" ht="15" customHeight="1">
      <c r="A592" s="1"/>
      <c r="B592" s="1"/>
      <c r="C592" s="1"/>
      <c r="D592" s="1"/>
      <c r="E592" s="1"/>
      <c r="H592" s="140"/>
    </row>
    <row r="593" spans="1:8" ht="15" customHeight="1">
      <c r="A593" s="1"/>
      <c r="B593" s="1"/>
      <c r="C593" s="1"/>
      <c r="D593" s="1"/>
      <c r="E593" s="1"/>
      <c r="H593" s="140"/>
    </row>
    <row r="594" spans="1:8" ht="15" customHeight="1">
      <c r="A594" s="1"/>
      <c r="B594" s="1"/>
      <c r="C594" s="1"/>
      <c r="D594" s="1"/>
      <c r="E594" s="1"/>
      <c r="H594" s="140"/>
    </row>
    <row r="595" spans="1:8" ht="15" customHeight="1">
      <c r="A595" s="1"/>
      <c r="B595" s="1"/>
      <c r="C595" s="1"/>
      <c r="D595" s="1"/>
      <c r="E595" s="1"/>
      <c r="H595" s="140"/>
    </row>
    <row r="596" spans="1:8" ht="15" customHeight="1">
      <c r="A596" s="1"/>
      <c r="B596" s="1"/>
      <c r="C596" s="1"/>
      <c r="D596" s="1"/>
      <c r="E596" s="1"/>
      <c r="H596" s="140"/>
    </row>
    <row r="597" spans="1:8" ht="15" customHeight="1">
      <c r="A597" s="1"/>
      <c r="B597" s="1"/>
      <c r="C597" s="1"/>
      <c r="D597" s="1"/>
      <c r="E597" s="1"/>
      <c r="H597" s="140"/>
    </row>
    <row r="598" spans="1:8" ht="15" customHeight="1">
      <c r="A598" s="1"/>
      <c r="B598" s="1"/>
      <c r="C598" s="1"/>
      <c r="D598" s="1"/>
      <c r="E598" s="1"/>
      <c r="H598" s="140"/>
    </row>
    <row r="599" spans="1:8" ht="15" customHeight="1">
      <c r="A599" s="1"/>
      <c r="B599" s="1"/>
      <c r="C599" s="1"/>
      <c r="D599" s="1"/>
      <c r="E599" s="1"/>
      <c r="H599" s="140"/>
    </row>
    <row r="600" spans="1:8" ht="15" customHeight="1">
      <c r="A600" s="1"/>
      <c r="B600" s="1"/>
      <c r="C600" s="1"/>
      <c r="D600" s="1"/>
      <c r="E600" s="1"/>
      <c r="H600" s="140"/>
    </row>
    <row r="601" spans="1:8" ht="15" customHeight="1">
      <c r="A601" s="1"/>
      <c r="B601" s="1"/>
      <c r="C601" s="1"/>
      <c r="D601" s="1"/>
      <c r="E601" s="1"/>
      <c r="H601" s="140"/>
    </row>
    <row r="602" spans="1:8" ht="15" customHeight="1">
      <c r="A602" s="1"/>
      <c r="B602" s="1"/>
      <c r="C602" s="1"/>
      <c r="D602" s="1"/>
      <c r="E602" s="1"/>
      <c r="H602" s="140"/>
    </row>
    <row r="603" spans="1:8" ht="15" customHeight="1">
      <c r="A603" s="1"/>
      <c r="B603" s="1"/>
      <c r="C603" s="1"/>
      <c r="D603" s="1"/>
      <c r="E603" s="1"/>
      <c r="H603" s="140"/>
    </row>
    <row r="604" spans="1:8" ht="15" customHeight="1">
      <c r="A604" s="1"/>
      <c r="B604" s="1"/>
      <c r="C604" s="1"/>
      <c r="D604" s="1"/>
      <c r="E604" s="1"/>
      <c r="H604" s="140"/>
    </row>
    <row r="605" spans="1:8" ht="11.25" customHeight="1">
      <c r="A605" s="1"/>
      <c r="B605" s="1"/>
      <c r="C605" s="1"/>
      <c r="D605" s="1"/>
      <c r="E605" s="1"/>
      <c r="H605" s="140"/>
    </row>
    <row r="606" spans="1:8" ht="11.25" customHeight="1">
      <c r="A606" s="1"/>
      <c r="B606" s="1"/>
      <c r="C606" s="1"/>
      <c r="D606" s="1"/>
      <c r="E606" s="1"/>
      <c r="H606" s="140"/>
    </row>
    <row r="607" spans="1:8" ht="11.25" customHeight="1">
      <c r="A607" s="1"/>
      <c r="B607" s="1"/>
      <c r="C607" s="1"/>
      <c r="D607" s="1"/>
      <c r="E607" s="1"/>
      <c r="H607" s="140"/>
    </row>
    <row r="608" spans="1:8" ht="11.25" customHeight="1">
      <c r="A608" s="1"/>
      <c r="B608" s="1"/>
      <c r="C608" s="1"/>
      <c r="D608" s="1"/>
      <c r="E608" s="1"/>
      <c r="H608" s="140"/>
    </row>
    <row r="609" spans="1:8" ht="11.25" customHeight="1">
      <c r="A609" s="1"/>
      <c r="B609" s="1"/>
      <c r="C609" s="1"/>
      <c r="D609" s="1"/>
      <c r="E609" s="1"/>
      <c r="H609" s="140"/>
    </row>
    <row r="610" spans="1:8" ht="11.25" customHeight="1">
      <c r="A610" s="1"/>
      <c r="B610" s="1"/>
      <c r="C610" s="1"/>
      <c r="D610" s="1"/>
      <c r="E610" s="1"/>
      <c r="H610" s="140"/>
    </row>
    <row r="611" spans="1:8" ht="11.25" customHeight="1">
      <c r="A611" s="1"/>
      <c r="B611" s="1"/>
      <c r="C611" s="1"/>
      <c r="D611" s="1"/>
      <c r="E611" s="1"/>
      <c r="H611" s="140"/>
    </row>
    <row r="612" spans="1:8" ht="11.25" customHeight="1">
      <c r="A612" s="1"/>
      <c r="B612" s="1"/>
      <c r="C612" s="1"/>
      <c r="D612" s="1"/>
      <c r="E612" s="1"/>
      <c r="H612" s="140"/>
    </row>
    <row r="613" spans="1:8" ht="11.25" customHeight="1">
      <c r="A613" s="1"/>
      <c r="B613" s="1"/>
      <c r="C613" s="1"/>
      <c r="D613" s="1"/>
      <c r="E613" s="1"/>
      <c r="H613" s="140"/>
    </row>
    <row r="614" spans="1:8" ht="11.25" customHeight="1">
      <c r="A614" s="1"/>
      <c r="B614" s="1"/>
      <c r="C614" s="1"/>
      <c r="D614" s="1"/>
      <c r="E614" s="1"/>
      <c r="H614" s="140"/>
    </row>
    <row r="615" spans="1:8" ht="11.25" customHeight="1">
      <c r="A615" s="1"/>
      <c r="B615" s="1"/>
      <c r="C615" s="1"/>
      <c r="D615" s="1"/>
      <c r="E615" s="1"/>
      <c r="H615" s="140"/>
    </row>
    <row r="616" spans="1:8" ht="11.25" customHeight="1">
      <c r="A616" s="1"/>
      <c r="B616" s="1"/>
      <c r="C616" s="1"/>
      <c r="D616" s="1"/>
      <c r="E616" s="1"/>
      <c r="H616" s="140"/>
    </row>
    <row r="617" spans="1:8" ht="15" customHeight="1">
      <c r="A617" s="1"/>
      <c r="B617" s="1"/>
      <c r="C617" s="1"/>
      <c r="D617" s="1"/>
      <c r="E617" s="1"/>
      <c r="H617" s="140"/>
    </row>
    <row r="618" spans="1:8" ht="15" customHeight="1">
      <c r="A618" s="1"/>
      <c r="B618" s="1"/>
      <c r="C618" s="1"/>
      <c r="D618" s="1"/>
      <c r="E618" s="1"/>
      <c r="H618" s="140"/>
    </row>
    <row r="619" spans="1:8" ht="15" customHeight="1">
      <c r="A619" s="1"/>
      <c r="B619" s="1"/>
      <c r="C619" s="1"/>
      <c r="D619" s="1"/>
      <c r="E619" s="1"/>
      <c r="H619" s="140"/>
    </row>
    <row r="620" spans="1:8" ht="15" customHeight="1">
      <c r="A620" s="1"/>
      <c r="B620" s="1"/>
      <c r="C620" s="1"/>
      <c r="D620" s="1"/>
      <c r="E620" s="1"/>
      <c r="H620" s="140"/>
    </row>
    <row r="621" spans="1:8" ht="15" customHeight="1">
      <c r="A621" s="1"/>
      <c r="B621" s="1"/>
      <c r="C621" s="1"/>
      <c r="D621" s="1"/>
      <c r="E621" s="1"/>
      <c r="H621" s="140"/>
    </row>
    <row r="622" spans="1:8" ht="15" customHeight="1">
      <c r="A622" s="1"/>
      <c r="B622" s="1"/>
      <c r="C622" s="1"/>
      <c r="D622" s="1"/>
      <c r="E622" s="1"/>
      <c r="H622" s="140"/>
    </row>
    <row r="623" spans="1:8" ht="34.5" customHeight="1">
      <c r="A623" s="1"/>
      <c r="B623" s="1"/>
      <c r="C623" s="1"/>
      <c r="D623" s="1"/>
      <c r="E623" s="1"/>
      <c r="H623" s="140"/>
    </row>
    <row r="624" spans="1:8" ht="28.5" customHeight="1">
      <c r="A624" s="1"/>
      <c r="B624" s="1"/>
      <c r="C624" s="1"/>
      <c r="D624" s="1"/>
      <c r="E624" s="1"/>
      <c r="H624" s="140"/>
    </row>
    <row r="625" spans="1:8" ht="15" customHeight="1">
      <c r="A625" s="1"/>
      <c r="B625" s="1"/>
      <c r="C625" s="1"/>
      <c r="D625" s="1"/>
      <c r="E625" s="1"/>
      <c r="H625" s="140"/>
    </row>
    <row r="626" spans="1:8" ht="15" customHeight="1">
      <c r="A626" s="1"/>
      <c r="B626" s="1"/>
      <c r="C626" s="1"/>
      <c r="D626" s="1"/>
      <c r="E626" s="1"/>
      <c r="H626" s="140"/>
    </row>
    <row r="627" spans="1:8" ht="15" customHeight="1">
      <c r="A627" s="1"/>
      <c r="B627" s="1"/>
      <c r="C627" s="1"/>
      <c r="D627" s="1"/>
      <c r="E627" s="1"/>
      <c r="H627" s="140"/>
    </row>
    <row r="628" spans="1:8" ht="15" customHeight="1">
      <c r="A628" s="1"/>
      <c r="B628" s="1"/>
      <c r="C628" s="1"/>
      <c r="D628" s="1"/>
      <c r="E628" s="1"/>
      <c r="H628" s="140"/>
    </row>
    <row r="629" spans="1:8" ht="15" customHeight="1">
      <c r="A629" s="1"/>
      <c r="B629" s="1"/>
      <c r="C629" s="1"/>
      <c r="D629" s="1"/>
      <c r="E629" s="1"/>
      <c r="H629" s="140"/>
    </row>
    <row r="630" spans="1:8" ht="15" customHeight="1">
      <c r="A630" s="1"/>
      <c r="B630" s="1"/>
      <c r="C630" s="1"/>
      <c r="D630" s="1"/>
      <c r="E630" s="1"/>
      <c r="H630" s="140"/>
    </row>
    <row r="631" spans="1:8" ht="15" customHeight="1">
      <c r="A631" s="1"/>
      <c r="B631" s="1"/>
      <c r="C631" s="1"/>
      <c r="D631" s="1"/>
      <c r="E631" s="1"/>
      <c r="H631" s="140"/>
    </row>
    <row r="632" spans="1:8" ht="15" customHeight="1">
      <c r="A632" s="1"/>
      <c r="B632" s="1"/>
      <c r="C632" s="1"/>
      <c r="D632" s="1"/>
      <c r="E632" s="1"/>
      <c r="H632" s="140"/>
    </row>
    <row r="633" spans="1:8" ht="15" customHeight="1">
      <c r="A633" s="1"/>
      <c r="B633" s="1"/>
      <c r="C633" s="1"/>
      <c r="D633" s="1"/>
      <c r="E633" s="1"/>
      <c r="H633" s="140"/>
    </row>
    <row r="634" spans="1:8" ht="15" customHeight="1">
      <c r="A634" s="1"/>
      <c r="B634" s="1"/>
      <c r="C634" s="1"/>
      <c r="D634" s="1"/>
      <c r="E634" s="1"/>
      <c r="H634" s="140"/>
    </row>
    <row r="635" spans="1:8" ht="15" customHeight="1">
      <c r="A635" s="1"/>
      <c r="B635" s="1"/>
      <c r="C635" s="1"/>
      <c r="D635" s="1"/>
      <c r="E635" s="1"/>
      <c r="H635" s="140"/>
    </row>
    <row r="636" spans="1:8" ht="15" customHeight="1">
      <c r="A636" s="1"/>
      <c r="B636" s="1"/>
      <c r="C636" s="1"/>
      <c r="D636" s="1"/>
      <c r="E636" s="1"/>
      <c r="H636" s="140"/>
    </row>
    <row r="637" spans="1:8" ht="15" customHeight="1">
      <c r="A637" s="1"/>
      <c r="B637" s="1"/>
      <c r="C637" s="1"/>
      <c r="D637" s="1"/>
      <c r="E637" s="1"/>
      <c r="H637" s="140"/>
    </row>
    <row r="638" spans="1:8" ht="15" customHeight="1">
      <c r="A638" s="1"/>
      <c r="B638" s="1"/>
      <c r="C638" s="1"/>
      <c r="D638" s="1"/>
      <c r="E638" s="1"/>
      <c r="H638" s="140"/>
    </row>
    <row r="639" spans="1:8" ht="15" customHeight="1">
      <c r="A639" s="1"/>
      <c r="B639" s="1"/>
      <c r="C639" s="1"/>
      <c r="D639" s="1"/>
      <c r="E639" s="1"/>
      <c r="H639" s="140"/>
    </row>
    <row r="640" spans="1:5" ht="15" customHeight="1">
      <c r="A640" s="1"/>
      <c r="B640" s="1"/>
      <c r="C640" s="1"/>
      <c r="D640" s="1"/>
      <c r="E640" s="1"/>
    </row>
    <row r="641" spans="1:5" ht="15" customHeight="1">
      <c r="A641" s="1"/>
      <c r="B641" s="1"/>
      <c r="C641" s="1"/>
      <c r="D641" s="1"/>
      <c r="E641" s="1"/>
    </row>
    <row r="642" spans="1:5" ht="15" customHeight="1">
      <c r="A642" s="1"/>
      <c r="B642" s="1"/>
      <c r="C642" s="1"/>
      <c r="D642" s="1"/>
      <c r="E642" s="1"/>
    </row>
    <row r="643" spans="1:5" ht="15" customHeight="1">
      <c r="A643" s="1"/>
      <c r="B643" s="1"/>
      <c r="C643" s="1"/>
      <c r="D643" s="1"/>
      <c r="E643" s="1"/>
    </row>
    <row r="644" spans="1:5" ht="15" customHeight="1">
      <c r="A644" s="1"/>
      <c r="B644" s="1"/>
      <c r="C644" s="1"/>
      <c r="D644" s="1"/>
      <c r="E644" s="1"/>
    </row>
    <row r="645" spans="1:5" ht="15" customHeight="1">
      <c r="A645" s="1"/>
      <c r="B645" s="1"/>
      <c r="C645" s="1"/>
      <c r="D645" s="1"/>
      <c r="E645" s="1"/>
    </row>
    <row r="646" spans="1:5" ht="15" customHeight="1">
      <c r="A646" s="1"/>
      <c r="B646" s="1"/>
      <c r="C646" s="1"/>
      <c r="D646" s="1"/>
      <c r="E646" s="1"/>
    </row>
    <row r="647" spans="1:5" ht="15.75" customHeight="1">
      <c r="A647" s="1"/>
      <c r="B647" s="1"/>
      <c r="C647" s="1"/>
      <c r="D647" s="1"/>
      <c r="E647" s="1"/>
    </row>
    <row r="648" spans="1:5" ht="15.75" customHeight="1">
      <c r="A648" s="1"/>
      <c r="B648" s="1"/>
      <c r="C648" s="1"/>
      <c r="D648" s="1"/>
      <c r="E648" s="1"/>
    </row>
    <row r="649" spans="1:5" ht="15.75" customHeight="1">
      <c r="A649" s="1"/>
      <c r="B649" s="1"/>
      <c r="C649" s="1"/>
      <c r="D649" s="1"/>
      <c r="E649" s="1"/>
    </row>
    <row r="650" spans="1:5" ht="15" customHeight="1">
      <c r="A650" s="1"/>
      <c r="B650" s="1"/>
      <c r="C650" s="1"/>
      <c r="D650" s="1"/>
      <c r="E650" s="1"/>
    </row>
    <row r="651" spans="1:5" ht="15" customHeight="1">
      <c r="A651" s="1"/>
      <c r="B651" s="1"/>
      <c r="C651" s="1"/>
      <c r="D651" s="1"/>
      <c r="E651" s="1"/>
    </row>
    <row r="652" spans="1:5" ht="15" customHeight="1">
      <c r="A652" s="1"/>
      <c r="B652" s="1"/>
      <c r="C652" s="1"/>
      <c r="D652" s="1"/>
      <c r="E652" s="1"/>
    </row>
    <row r="653" spans="1:5" ht="15" customHeight="1">
      <c r="A653" s="1"/>
      <c r="B653" s="1"/>
      <c r="C653" s="1"/>
      <c r="D653" s="1"/>
      <c r="E653" s="1"/>
    </row>
    <row r="654" spans="1:5" ht="15" customHeight="1">
      <c r="A654" s="1"/>
      <c r="B654" s="1"/>
      <c r="C654" s="1"/>
      <c r="D654" s="1"/>
      <c r="E654" s="1"/>
    </row>
    <row r="655" spans="1:5" ht="15" customHeight="1">
      <c r="A655" s="1"/>
      <c r="B655" s="1"/>
      <c r="C655" s="1"/>
      <c r="D655" s="1"/>
      <c r="E655" s="1"/>
    </row>
    <row r="656" spans="1:5" ht="15" customHeight="1">
      <c r="A656" s="1"/>
      <c r="B656" s="1"/>
      <c r="C656" s="1"/>
      <c r="D656" s="1"/>
      <c r="E656" s="1"/>
    </row>
    <row r="657" spans="1:5" ht="15" customHeight="1">
      <c r="A657" s="1"/>
      <c r="B657" s="1"/>
      <c r="C657" s="1"/>
      <c r="D657" s="1"/>
      <c r="E657" s="1"/>
    </row>
    <row r="658" spans="1:5" ht="15" customHeight="1">
      <c r="A658" s="1"/>
      <c r="B658" s="1"/>
      <c r="C658" s="1"/>
      <c r="D658" s="1"/>
      <c r="E658" s="1"/>
    </row>
    <row r="659" spans="1:5" ht="15" customHeight="1">
      <c r="A659" s="1"/>
      <c r="B659" s="1"/>
      <c r="C659" s="1"/>
      <c r="D659" s="1"/>
      <c r="E659" s="1"/>
    </row>
    <row r="660" spans="1:5" ht="15" customHeight="1">
      <c r="A660" s="1"/>
      <c r="B660" s="1"/>
      <c r="C660" s="1"/>
      <c r="D660" s="1"/>
      <c r="E660" s="1"/>
    </row>
    <row r="661" spans="1:5" ht="15" customHeight="1">
      <c r="A661" s="1"/>
      <c r="B661" s="1"/>
      <c r="C661" s="1"/>
      <c r="D661" s="1"/>
      <c r="E661" s="1"/>
    </row>
    <row r="662" spans="1:5" ht="15" customHeight="1">
      <c r="A662" s="1"/>
      <c r="B662" s="1"/>
      <c r="C662" s="1"/>
      <c r="D662" s="1"/>
      <c r="E662" s="1"/>
    </row>
    <row r="663" spans="1:5" ht="15" customHeight="1">
      <c r="A663" s="1"/>
      <c r="B663" s="1"/>
      <c r="C663" s="1"/>
      <c r="D663" s="1"/>
      <c r="E663" s="1"/>
    </row>
    <row r="664" spans="1:5" ht="15" customHeight="1">
      <c r="A664" s="1"/>
      <c r="B664" s="1"/>
      <c r="C664" s="1"/>
      <c r="D664" s="1"/>
      <c r="E664" s="1"/>
    </row>
    <row r="665" spans="1:5" ht="15" customHeight="1">
      <c r="A665" s="1"/>
      <c r="B665" s="1"/>
      <c r="C665" s="1"/>
      <c r="D665" s="1"/>
      <c r="E665" s="1"/>
    </row>
    <row r="666" spans="1:5" ht="15" customHeight="1">
      <c r="A666" s="1"/>
      <c r="B666" s="1"/>
      <c r="C666" s="1"/>
      <c r="D666" s="1"/>
      <c r="E666" s="1"/>
    </row>
    <row r="667" spans="1:5" ht="15" customHeight="1">
      <c r="A667" s="1"/>
      <c r="B667" s="1"/>
      <c r="C667" s="1"/>
      <c r="D667" s="1"/>
      <c r="E667" s="1"/>
    </row>
    <row r="668" spans="1:5" ht="15" customHeight="1">
      <c r="A668" s="1"/>
      <c r="B668" s="1"/>
      <c r="C668" s="1"/>
      <c r="D668" s="1"/>
      <c r="E668" s="1"/>
    </row>
    <row r="669" spans="1:5" ht="15" customHeight="1">
      <c r="A669" s="1"/>
      <c r="B669" s="1"/>
      <c r="C669" s="1"/>
      <c r="D669" s="1"/>
      <c r="E669" s="1"/>
    </row>
    <row r="670" spans="1:5" ht="15" customHeight="1">
      <c r="A670" s="1"/>
      <c r="B670" s="1"/>
      <c r="C670" s="1"/>
      <c r="D670" s="1"/>
      <c r="E670" s="1"/>
    </row>
    <row r="671" spans="1:5" ht="15" customHeight="1">
      <c r="A671" s="1"/>
      <c r="B671" s="1"/>
      <c r="C671" s="1"/>
      <c r="D671" s="1"/>
      <c r="E671" s="1"/>
    </row>
    <row r="672" spans="1:5" ht="15" customHeight="1">
      <c r="A672" s="1"/>
      <c r="B672" s="1"/>
      <c r="C672" s="1"/>
      <c r="D672" s="1"/>
      <c r="E672" s="1"/>
    </row>
    <row r="673" spans="1:5" ht="15" customHeight="1">
      <c r="A673" s="1"/>
      <c r="B673" s="1"/>
      <c r="C673" s="1"/>
      <c r="D673" s="1"/>
      <c r="E673" s="1"/>
    </row>
    <row r="674" spans="1:5" ht="15" customHeight="1">
      <c r="A674" s="1"/>
      <c r="B674" s="1"/>
      <c r="C674" s="1"/>
      <c r="D674" s="1"/>
      <c r="E674" s="1"/>
    </row>
    <row r="675" spans="1:5" ht="13.5" customHeight="1">
      <c r="A675" s="1"/>
      <c r="B675" s="1"/>
      <c r="C675" s="1"/>
      <c r="D675" s="1"/>
      <c r="E675" s="1"/>
    </row>
    <row r="676" spans="1:5" ht="13.5" customHeight="1">
      <c r="A676" s="1"/>
      <c r="B676" s="1"/>
      <c r="C676" s="1"/>
      <c r="D676" s="1"/>
      <c r="E676" s="1"/>
    </row>
    <row r="677" spans="1:5" ht="15" customHeight="1">
      <c r="A677" s="1"/>
      <c r="B677" s="1"/>
      <c r="C677" s="1"/>
      <c r="D677" s="1"/>
      <c r="E677" s="1"/>
    </row>
    <row r="678" spans="1:5" ht="15" customHeight="1">
      <c r="A678" s="1"/>
      <c r="B678" s="1"/>
      <c r="C678" s="1"/>
      <c r="D678" s="1"/>
      <c r="E678" s="1"/>
    </row>
    <row r="679" spans="1:5" ht="15" customHeight="1">
      <c r="A679" s="1"/>
      <c r="B679" s="1"/>
      <c r="C679" s="1"/>
      <c r="D679" s="1"/>
      <c r="E679" s="1"/>
    </row>
    <row r="680" spans="1:5" ht="15" customHeight="1">
      <c r="A680" s="1"/>
      <c r="B680" s="1"/>
      <c r="C680" s="1"/>
      <c r="D680" s="1"/>
      <c r="E680" s="1"/>
    </row>
    <row r="681" spans="1:5" ht="15" customHeight="1">
      <c r="A681" s="1"/>
      <c r="B681" s="1"/>
      <c r="C681" s="1"/>
      <c r="D681" s="1"/>
      <c r="E681" s="1"/>
    </row>
    <row r="682" spans="1:5" ht="16.5" customHeight="1">
      <c r="A682" s="1"/>
      <c r="B682" s="1"/>
      <c r="C682" s="1"/>
      <c r="D682" s="1"/>
      <c r="E682" s="1"/>
    </row>
    <row r="683" spans="1:5" ht="16.5" customHeight="1">
      <c r="A683" s="1"/>
      <c r="B683" s="1"/>
      <c r="C683" s="1"/>
      <c r="D683" s="1"/>
      <c r="E683" s="1"/>
    </row>
    <row r="684" spans="1:5" ht="16.5" customHeight="1">
      <c r="A684" s="1"/>
      <c r="B684" s="1"/>
      <c r="C684" s="1"/>
      <c r="D684" s="1"/>
      <c r="E684" s="1"/>
    </row>
    <row r="685" spans="1:5" ht="16.5" customHeight="1">
      <c r="A685" s="1"/>
      <c r="B685" s="1"/>
      <c r="C685" s="1"/>
      <c r="D685" s="1"/>
      <c r="E685" s="1"/>
    </row>
    <row r="686" spans="1:5" ht="16.5" customHeight="1">
      <c r="A686" s="1"/>
      <c r="B686" s="1"/>
      <c r="C686" s="1"/>
      <c r="D686" s="1"/>
      <c r="E686" s="1"/>
    </row>
    <row r="687" spans="1:5" ht="16.5" customHeight="1">
      <c r="A687" s="1"/>
      <c r="B687" s="1"/>
      <c r="C687" s="1"/>
      <c r="D687" s="1"/>
      <c r="E687" s="1"/>
    </row>
    <row r="688" spans="1:5" ht="16.5" customHeight="1">
      <c r="A688" s="1"/>
      <c r="B688" s="1"/>
      <c r="C688" s="1"/>
      <c r="D688" s="1"/>
      <c r="E688" s="1"/>
    </row>
    <row r="689" spans="1:5" ht="15" customHeight="1">
      <c r="A689" s="1"/>
      <c r="B689" s="1"/>
      <c r="C689" s="1"/>
      <c r="D689" s="1"/>
      <c r="E689" s="1"/>
    </row>
    <row r="690" spans="1:5" ht="15" customHeight="1">
      <c r="A690" s="1"/>
      <c r="B690" s="1"/>
      <c r="C690" s="1"/>
      <c r="D690" s="1"/>
      <c r="E690" s="1"/>
    </row>
    <row r="691" spans="1:5" ht="15" customHeight="1">
      <c r="A691" s="1"/>
      <c r="B691" s="1"/>
      <c r="C691" s="1"/>
      <c r="D691" s="1"/>
      <c r="E691" s="1"/>
    </row>
    <row r="692" spans="1:5" ht="14.25" customHeight="1">
      <c r="A692" s="1"/>
      <c r="B692" s="1"/>
      <c r="C692" s="1"/>
      <c r="D692" s="1"/>
      <c r="E692" s="1"/>
    </row>
    <row r="693" spans="1:5" ht="14.25" customHeight="1">
      <c r="A693" s="1"/>
      <c r="B693" s="1"/>
      <c r="C693" s="1"/>
      <c r="D693" s="1"/>
      <c r="E693" s="1"/>
    </row>
    <row r="694" spans="1:5" ht="14.25" customHeight="1">
      <c r="A694" s="1"/>
      <c r="B694" s="1"/>
      <c r="C694" s="1"/>
      <c r="D694" s="1"/>
      <c r="E694" s="1"/>
    </row>
    <row r="695" spans="1:5" ht="14.25" customHeight="1">
      <c r="A695" s="1"/>
      <c r="B695" s="1"/>
      <c r="C695" s="1"/>
      <c r="D695" s="1"/>
      <c r="E695" s="1"/>
    </row>
    <row r="696" spans="1:5" ht="14.25" customHeight="1">
      <c r="A696" s="1"/>
      <c r="B696" s="1"/>
      <c r="C696" s="1"/>
      <c r="D696" s="1"/>
      <c r="E696" s="1"/>
    </row>
    <row r="697" spans="1:5" ht="14.25" customHeight="1">
      <c r="A697" s="1"/>
      <c r="B697" s="1"/>
      <c r="C697" s="1"/>
      <c r="D697" s="1"/>
      <c r="E697" s="1"/>
    </row>
    <row r="698" spans="1:5" ht="14.25" customHeight="1">
      <c r="A698" s="1"/>
      <c r="B698" s="1"/>
      <c r="C698" s="1"/>
      <c r="D698" s="1"/>
      <c r="E698" s="1"/>
    </row>
    <row r="699" spans="1:5" ht="14.25" customHeight="1">
      <c r="A699" s="1"/>
      <c r="B699" s="1"/>
      <c r="C699" s="1"/>
      <c r="D699" s="1"/>
      <c r="E699" s="1"/>
    </row>
    <row r="700" spans="1:5" ht="14.25" customHeight="1">
      <c r="A700" s="1"/>
      <c r="B700" s="1"/>
      <c r="C700" s="1"/>
      <c r="D700" s="1"/>
      <c r="E700" s="1"/>
    </row>
    <row r="701" spans="1:5" ht="14.25" customHeight="1">
      <c r="A701" s="1"/>
      <c r="B701" s="1"/>
      <c r="C701" s="1"/>
      <c r="D701" s="1"/>
      <c r="E701" s="1"/>
    </row>
    <row r="702" spans="1:5" ht="14.25" customHeight="1">
      <c r="A702" s="1"/>
      <c r="B702" s="1"/>
      <c r="C702" s="1"/>
      <c r="D702" s="1"/>
      <c r="E702" s="1"/>
    </row>
    <row r="703" spans="1:5" ht="14.25" customHeight="1">
      <c r="A703" s="1"/>
      <c r="B703" s="1"/>
      <c r="C703" s="1"/>
      <c r="D703" s="1"/>
      <c r="E703" s="1"/>
    </row>
    <row r="704" spans="1:5" ht="14.25" customHeight="1">
      <c r="A704" s="1"/>
      <c r="B704" s="1"/>
      <c r="C704" s="1"/>
      <c r="D704" s="1"/>
      <c r="E704" s="1"/>
    </row>
    <row r="705" spans="1:5" ht="14.25" customHeight="1">
      <c r="A705" s="1"/>
      <c r="B705" s="1"/>
      <c r="C705" s="1"/>
      <c r="D705" s="1"/>
      <c r="E705" s="1"/>
    </row>
    <row r="706" spans="1:5" ht="14.25" customHeight="1">
      <c r="A706" s="1"/>
      <c r="B706" s="1"/>
      <c r="C706" s="1"/>
      <c r="D706" s="1"/>
      <c r="E706" s="1"/>
    </row>
    <row r="707" spans="1:5" ht="14.25" customHeight="1">
      <c r="A707" s="1"/>
      <c r="B707" s="1"/>
      <c r="C707" s="1"/>
      <c r="D707" s="1"/>
      <c r="E707" s="1"/>
    </row>
    <row r="708" spans="1:5" ht="14.25" customHeight="1">
      <c r="A708" s="1"/>
      <c r="B708" s="1"/>
      <c r="C708" s="1"/>
      <c r="D708" s="1"/>
      <c r="E708" s="1"/>
    </row>
    <row r="709" spans="1:5" ht="14.25" customHeight="1">
      <c r="A709" s="1"/>
      <c r="B709" s="1"/>
      <c r="C709" s="1"/>
      <c r="D709" s="1"/>
      <c r="E709" s="1"/>
    </row>
    <row r="710" spans="1:5" ht="14.25" customHeight="1">
      <c r="A710" s="1"/>
      <c r="B710" s="1"/>
      <c r="C710" s="1"/>
      <c r="D710" s="1"/>
      <c r="E710" s="1"/>
    </row>
    <row r="711" spans="1:5" ht="14.25" customHeight="1">
      <c r="A711" s="1"/>
      <c r="B711" s="1"/>
      <c r="C711" s="1"/>
      <c r="D711" s="1"/>
      <c r="E711" s="1"/>
    </row>
    <row r="712" spans="1:5" ht="14.25" customHeight="1">
      <c r="A712" s="1"/>
      <c r="B712" s="1"/>
      <c r="C712" s="1"/>
      <c r="D712" s="1"/>
      <c r="E712" s="1"/>
    </row>
    <row r="713" spans="1:5" ht="14.25" customHeight="1">
      <c r="A713" s="1"/>
      <c r="B713" s="1"/>
      <c r="C713" s="1"/>
      <c r="D713" s="1"/>
      <c r="E713" s="1"/>
    </row>
    <row r="714" spans="1:5" ht="14.25" customHeight="1">
      <c r="A714" s="1"/>
      <c r="B714" s="1"/>
      <c r="C714" s="1"/>
      <c r="D714" s="1"/>
      <c r="E714" s="1"/>
    </row>
    <row r="715" spans="1:5" ht="14.25" customHeight="1">
      <c r="A715" s="1"/>
      <c r="B715" s="1"/>
      <c r="C715" s="1"/>
      <c r="D715" s="1"/>
      <c r="E715" s="1"/>
    </row>
    <row r="716" spans="1:5" ht="14.25" customHeight="1">
      <c r="A716" s="1"/>
      <c r="B716" s="1"/>
      <c r="C716" s="1"/>
      <c r="D716" s="1"/>
      <c r="E716" s="1"/>
    </row>
    <row r="717" spans="1:5" ht="14.25" customHeight="1">
      <c r="A717" s="1"/>
      <c r="B717" s="1"/>
      <c r="C717" s="1"/>
      <c r="D717" s="1"/>
      <c r="E717" s="1"/>
    </row>
    <row r="718" spans="1:5" ht="14.25" customHeight="1">
      <c r="A718" s="1"/>
      <c r="B718" s="1"/>
      <c r="C718" s="1"/>
      <c r="D718" s="1"/>
      <c r="E718" s="1"/>
    </row>
    <row r="719" spans="1:5" ht="14.25" customHeight="1">
      <c r="A719" s="1"/>
      <c r="B719" s="1"/>
      <c r="C719" s="1"/>
      <c r="D719" s="1"/>
      <c r="E719" s="1"/>
    </row>
    <row r="720" spans="1:5" ht="14.25" customHeight="1">
      <c r="A720" s="1"/>
      <c r="B720" s="1"/>
      <c r="C720" s="1"/>
      <c r="D720" s="1"/>
      <c r="E720" s="1"/>
    </row>
    <row r="721" spans="1:5" ht="14.25" customHeight="1">
      <c r="A721" s="1"/>
      <c r="B721" s="1"/>
      <c r="C721" s="1"/>
      <c r="D721" s="1"/>
      <c r="E721" s="1"/>
    </row>
    <row r="722" spans="1:5" ht="14.25" customHeight="1">
      <c r="A722" s="1"/>
      <c r="B722" s="1"/>
      <c r="C722" s="1"/>
      <c r="D722" s="1"/>
      <c r="E722" s="1"/>
    </row>
    <row r="723" spans="1:5" ht="14.25" customHeight="1">
      <c r="A723" s="1"/>
      <c r="B723" s="1"/>
      <c r="C723" s="1"/>
      <c r="D723" s="1"/>
      <c r="E723" s="1"/>
    </row>
    <row r="724" spans="1:5" ht="14.25" customHeight="1">
      <c r="A724" s="1"/>
      <c r="B724" s="1"/>
      <c r="C724" s="1"/>
      <c r="D724" s="1"/>
      <c r="E724" s="1"/>
    </row>
    <row r="725" spans="1:5" ht="14.25" customHeight="1">
      <c r="A725" s="1"/>
      <c r="B725" s="1"/>
      <c r="C725" s="1"/>
      <c r="D725" s="1"/>
      <c r="E725" s="1"/>
    </row>
    <row r="726" spans="1:5" ht="14.25" customHeight="1">
      <c r="A726" s="1"/>
      <c r="B726" s="1"/>
      <c r="C726" s="1"/>
      <c r="D726" s="1"/>
      <c r="E726" s="1"/>
    </row>
    <row r="727" spans="1:5" ht="14.25" customHeight="1">
      <c r="A727" s="1"/>
      <c r="B727" s="1"/>
      <c r="C727" s="1"/>
      <c r="D727" s="1"/>
      <c r="E727" s="1"/>
    </row>
    <row r="728" spans="1:5" ht="14.25" customHeight="1">
      <c r="A728" s="1"/>
      <c r="B728" s="1"/>
      <c r="C728" s="1"/>
      <c r="D728" s="1"/>
      <c r="E728" s="1"/>
    </row>
    <row r="729" spans="1:5" ht="14.25" customHeight="1">
      <c r="A729" s="1"/>
      <c r="B729" s="1"/>
      <c r="C729" s="1"/>
      <c r="D729" s="1"/>
      <c r="E729" s="1"/>
    </row>
    <row r="730" spans="1:5" ht="14.25" customHeight="1">
      <c r="A730" s="1"/>
      <c r="B730" s="1"/>
      <c r="C730" s="1"/>
      <c r="D730" s="1"/>
      <c r="E730" s="1"/>
    </row>
    <row r="731" spans="1:5" ht="14.25" customHeight="1">
      <c r="A731" s="1"/>
      <c r="B731" s="1"/>
      <c r="C731" s="1"/>
      <c r="D731" s="1"/>
      <c r="E731" s="1"/>
    </row>
    <row r="732" spans="1:5" ht="14.25" customHeight="1">
      <c r="A732" s="1"/>
      <c r="B732" s="1"/>
      <c r="C732" s="1"/>
      <c r="D732" s="1"/>
      <c r="E732" s="1"/>
    </row>
    <row r="733" spans="1:5" ht="14.25" customHeight="1">
      <c r="A733" s="1"/>
      <c r="B733" s="1"/>
      <c r="C733" s="1"/>
      <c r="D733" s="1"/>
      <c r="E733" s="1"/>
    </row>
    <row r="734" spans="1:5" ht="14.25" customHeight="1">
      <c r="A734" s="1"/>
      <c r="B734" s="1"/>
      <c r="C734" s="1"/>
      <c r="D734" s="1"/>
      <c r="E734" s="1"/>
    </row>
    <row r="735" spans="1:5" ht="14.25" customHeight="1">
      <c r="A735" s="1"/>
      <c r="B735" s="1"/>
      <c r="C735" s="1"/>
      <c r="D735" s="1"/>
      <c r="E735" s="1"/>
    </row>
    <row r="736" spans="1:5" ht="14.25" customHeight="1">
      <c r="A736" s="1"/>
      <c r="B736" s="1"/>
      <c r="C736" s="1"/>
      <c r="D736" s="1"/>
      <c r="E736" s="1"/>
    </row>
    <row r="737" spans="1:5" ht="14.25" customHeight="1">
      <c r="A737" s="1"/>
      <c r="B737" s="1"/>
      <c r="C737" s="1"/>
      <c r="D737" s="1"/>
      <c r="E737" s="1"/>
    </row>
    <row r="738" spans="1:5" ht="14.25" customHeight="1">
      <c r="A738" s="1"/>
      <c r="B738" s="1"/>
      <c r="C738" s="1"/>
      <c r="D738" s="1"/>
      <c r="E738" s="1"/>
    </row>
    <row r="739" spans="1:5" ht="14.25" customHeight="1">
      <c r="A739" s="1"/>
      <c r="B739" s="1"/>
      <c r="C739" s="1"/>
      <c r="D739" s="1"/>
      <c r="E739" s="1"/>
    </row>
    <row r="740" spans="1:5" ht="14.25" customHeight="1">
      <c r="A740" s="1"/>
      <c r="B740" s="1"/>
      <c r="C740" s="1"/>
      <c r="D740" s="1"/>
      <c r="E740" s="1"/>
    </row>
    <row r="741" spans="1:5" ht="14.25" customHeight="1">
      <c r="A741" s="1"/>
      <c r="B741" s="1"/>
      <c r="C741" s="1"/>
      <c r="D741" s="1"/>
      <c r="E741" s="1"/>
    </row>
    <row r="742" spans="1:5" ht="14.25" customHeight="1">
      <c r="A742" s="1"/>
      <c r="B742" s="1"/>
      <c r="C742" s="1"/>
      <c r="D742" s="1"/>
      <c r="E742" s="1"/>
    </row>
    <row r="743" spans="1:5" ht="14.25" customHeight="1">
      <c r="A743" s="1"/>
      <c r="B743" s="1"/>
      <c r="C743" s="1"/>
      <c r="D743" s="1"/>
      <c r="E743" s="1"/>
    </row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9.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</sheetData>
  <sheetProtection/>
  <mergeCells count="384">
    <mergeCell ref="B181:C181"/>
    <mergeCell ref="A116:C116"/>
    <mergeCell ref="B176:C176"/>
    <mergeCell ref="A135:E135"/>
    <mergeCell ref="H188:H189"/>
    <mergeCell ref="H181:H182"/>
    <mergeCell ref="H176:H177"/>
    <mergeCell ref="B177:C178"/>
    <mergeCell ref="A121:E121"/>
    <mergeCell ref="B182:C185"/>
    <mergeCell ref="A96:C96"/>
    <mergeCell ref="H169:H170"/>
    <mergeCell ref="A18:B18"/>
    <mergeCell ref="A30:B30"/>
    <mergeCell ref="A27:B27"/>
    <mergeCell ref="C28:D28"/>
    <mergeCell ref="C31:D31"/>
    <mergeCell ref="A55:E55"/>
    <mergeCell ref="A29:B29"/>
    <mergeCell ref="C29:D29"/>
    <mergeCell ref="B203:C205"/>
    <mergeCell ref="H256:H257"/>
    <mergeCell ref="H202:H203"/>
    <mergeCell ref="H242:H243"/>
    <mergeCell ref="H249:H250"/>
    <mergeCell ref="H222:H223"/>
    <mergeCell ref="B236:C239"/>
    <mergeCell ref="H215:H216"/>
    <mergeCell ref="B243:C246"/>
    <mergeCell ref="B222:C222"/>
    <mergeCell ref="H196:H197"/>
    <mergeCell ref="H208:H209"/>
    <mergeCell ref="A57:C57"/>
    <mergeCell ref="A60:C60"/>
    <mergeCell ref="B187:C187"/>
    <mergeCell ref="A104:C104"/>
    <mergeCell ref="A167:C167"/>
    <mergeCell ref="A137:C137"/>
    <mergeCell ref="A92:C92"/>
    <mergeCell ref="A177:A178"/>
    <mergeCell ref="H293:H294"/>
    <mergeCell ref="H278:H279"/>
    <mergeCell ref="B250:C253"/>
    <mergeCell ref="H228:H229"/>
    <mergeCell ref="H235:H236"/>
    <mergeCell ref="H272:H273"/>
    <mergeCell ref="B273:C275"/>
    <mergeCell ref="H285:H286"/>
    <mergeCell ref="H265:H266"/>
    <mergeCell ref="B278:C278"/>
    <mergeCell ref="H312:H313"/>
    <mergeCell ref="H303:H304"/>
    <mergeCell ref="H307:H308"/>
    <mergeCell ref="A294:B295"/>
    <mergeCell ref="A266:A269"/>
    <mergeCell ref="A273:A275"/>
    <mergeCell ref="C308:C309"/>
    <mergeCell ref="A304:B304"/>
    <mergeCell ref="A313:B313"/>
    <mergeCell ref="H298:H299"/>
    <mergeCell ref="H316:H317"/>
    <mergeCell ref="A299:B300"/>
    <mergeCell ref="A308:B309"/>
    <mergeCell ref="A307:B307"/>
    <mergeCell ref="A303:B303"/>
    <mergeCell ref="H460:H461"/>
    <mergeCell ref="H420:H421"/>
    <mergeCell ref="H333:H334"/>
    <mergeCell ref="H324:H325"/>
    <mergeCell ref="B388:C388"/>
    <mergeCell ref="T417:W417"/>
    <mergeCell ref="H341:H342"/>
    <mergeCell ref="T326:X327"/>
    <mergeCell ref="H449:H450"/>
    <mergeCell ref="H357:H358"/>
    <mergeCell ref="H442:H443"/>
    <mergeCell ref="H429:H430"/>
    <mergeCell ref="H362:H363"/>
    <mergeCell ref="H349:H350"/>
    <mergeCell ref="S353:W353"/>
    <mergeCell ref="H329:H330"/>
    <mergeCell ref="H413:H414"/>
    <mergeCell ref="H456:H457"/>
    <mergeCell ref="A542:B542"/>
    <mergeCell ref="A543:B543"/>
    <mergeCell ref="A536:B536"/>
    <mergeCell ref="A377:E377"/>
    <mergeCell ref="C350:C354"/>
    <mergeCell ref="A362:B362"/>
    <mergeCell ref="C363:C364"/>
    <mergeCell ref="A540:B540"/>
    <mergeCell ref="A209:A212"/>
    <mergeCell ref="A373:B373"/>
    <mergeCell ref="B393:C393"/>
    <mergeCell ref="B394:C394"/>
    <mergeCell ref="C371:D371"/>
    <mergeCell ref="A440:B440"/>
    <mergeCell ref="A482:B482"/>
    <mergeCell ref="B390:C390"/>
    <mergeCell ref="C544:C546"/>
    <mergeCell ref="A544:B546"/>
    <mergeCell ref="A441:B441"/>
    <mergeCell ref="C489:C492"/>
    <mergeCell ref="B229:C232"/>
    <mergeCell ref="B384:C384"/>
    <mergeCell ref="A430:B434"/>
    <mergeCell ref="A526:B526"/>
    <mergeCell ref="A529:B529"/>
    <mergeCell ref="A530:B530"/>
    <mergeCell ref="A250:A253"/>
    <mergeCell ref="B235:C235"/>
    <mergeCell ref="B249:C249"/>
    <mergeCell ref="B242:C242"/>
    <mergeCell ref="B265:C265"/>
    <mergeCell ref="B257:C262"/>
    <mergeCell ref="A327:B327"/>
    <mergeCell ref="A349:B349"/>
    <mergeCell ref="A450:B453"/>
    <mergeCell ref="A457:B457"/>
    <mergeCell ref="A334:B338"/>
    <mergeCell ref="B385:C385"/>
    <mergeCell ref="B391:C391"/>
    <mergeCell ref="B387:C387"/>
    <mergeCell ref="A413:B413"/>
    <mergeCell ref="A469:B469"/>
    <mergeCell ref="A459:B459"/>
    <mergeCell ref="A486:B486"/>
    <mergeCell ref="A496:B497"/>
    <mergeCell ref="A481:B481"/>
    <mergeCell ref="A494:B494"/>
    <mergeCell ref="A468:B468"/>
    <mergeCell ref="A465:B467"/>
    <mergeCell ref="A487:B487"/>
    <mergeCell ref="C450:C453"/>
    <mergeCell ref="A532:B532"/>
    <mergeCell ref="C465:C467"/>
    <mergeCell ref="A501:B502"/>
    <mergeCell ref="C501:C502"/>
    <mergeCell ref="A499:B499"/>
    <mergeCell ref="A478:B478"/>
    <mergeCell ref="A464:B464"/>
    <mergeCell ref="A479:B480"/>
    <mergeCell ref="A411:E411"/>
    <mergeCell ref="A400:E400"/>
    <mergeCell ref="C33:D33"/>
    <mergeCell ref="C30:D30"/>
    <mergeCell ref="A31:B31"/>
    <mergeCell ref="A368:B368"/>
    <mergeCell ref="A298:B298"/>
    <mergeCell ref="A341:B341"/>
    <mergeCell ref="A363:B364"/>
    <mergeCell ref="B271:C271"/>
    <mergeCell ref="A350:B354"/>
    <mergeCell ref="A418:B418"/>
    <mergeCell ref="A437:B437"/>
    <mergeCell ref="A366:E366"/>
    <mergeCell ref="A229:A232"/>
    <mergeCell ref="C317:C321"/>
    <mergeCell ref="B272:C272"/>
    <mergeCell ref="C370:D370"/>
    <mergeCell ref="A370:B370"/>
    <mergeCell ref="C430:C434"/>
    <mergeCell ref="C414:C417"/>
    <mergeCell ref="C438:C439"/>
    <mergeCell ref="A443:B446"/>
    <mergeCell ref="C484:C485"/>
    <mergeCell ref="A421:B426"/>
    <mergeCell ref="A442:B442"/>
    <mergeCell ref="A449:B449"/>
    <mergeCell ref="A461:B461"/>
    <mergeCell ref="C471:C475"/>
    <mergeCell ref="A460:B460"/>
    <mergeCell ref="A456:B456"/>
    <mergeCell ref="A500:B500"/>
    <mergeCell ref="A495:B495"/>
    <mergeCell ref="C496:C497"/>
    <mergeCell ref="A489:B492"/>
    <mergeCell ref="A455:B455"/>
    <mergeCell ref="A484:B485"/>
    <mergeCell ref="A488:B488"/>
    <mergeCell ref="C479:C480"/>
    <mergeCell ref="A470:B470"/>
    <mergeCell ref="C6:D6"/>
    <mergeCell ref="A396:E396"/>
    <mergeCell ref="A429:B429"/>
    <mergeCell ref="A408:E408"/>
    <mergeCell ref="A448:B448"/>
    <mergeCell ref="C443:C446"/>
    <mergeCell ref="A428:B428"/>
    <mergeCell ref="B378:C378"/>
    <mergeCell ref="A9:B9"/>
    <mergeCell ref="A438:B439"/>
    <mergeCell ref="C369:D369"/>
    <mergeCell ref="A375:E375"/>
    <mergeCell ref="C342:C346"/>
    <mergeCell ref="A33:B33"/>
    <mergeCell ref="A21:D21"/>
    <mergeCell ref="A1:E1"/>
    <mergeCell ref="A2:C2"/>
    <mergeCell ref="A4:E4"/>
    <mergeCell ref="A3:C3"/>
    <mergeCell ref="A5:D5"/>
    <mergeCell ref="C27:D27"/>
    <mergeCell ref="A6:B6"/>
    <mergeCell ref="A7:B7"/>
    <mergeCell ref="A8:B8"/>
    <mergeCell ref="C9:D9"/>
    <mergeCell ref="C8:D8"/>
    <mergeCell ref="C7:D7"/>
    <mergeCell ref="A10:B10"/>
    <mergeCell ref="D20:E20"/>
    <mergeCell ref="A11:B11"/>
    <mergeCell ref="C11:D11"/>
    <mergeCell ref="C10:D10"/>
    <mergeCell ref="C14:D14"/>
    <mergeCell ref="C12:D12"/>
    <mergeCell ref="A19:B19"/>
    <mergeCell ref="A12:B12"/>
    <mergeCell ref="C13:D13"/>
    <mergeCell ref="A13:B13"/>
    <mergeCell ref="C15:D15"/>
    <mergeCell ref="A15:B15"/>
    <mergeCell ref="C23:D23"/>
    <mergeCell ref="C25:D25"/>
    <mergeCell ref="C32:D32"/>
    <mergeCell ref="C19:D19"/>
    <mergeCell ref="A14:B14"/>
    <mergeCell ref="A16:B16"/>
    <mergeCell ref="C16:D16"/>
    <mergeCell ref="A22:B22"/>
    <mergeCell ref="C22:D22"/>
    <mergeCell ref="C24:D24"/>
    <mergeCell ref="A40:C40"/>
    <mergeCell ref="A36:E36"/>
    <mergeCell ref="A35:E35"/>
    <mergeCell ref="C17:D17"/>
    <mergeCell ref="A17:B17"/>
    <mergeCell ref="B189:C193"/>
    <mergeCell ref="B170:C173"/>
    <mergeCell ref="B179:C179"/>
    <mergeCell ref="A24:B24"/>
    <mergeCell ref="C26:D26"/>
    <mergeCell ref="A28:B28"/>
    <mergeCell ref="A26:B26"/>
    <mergeCell ref="A25:B25"/>
    <mergeCell ref="A90:E90"/>
    <mergeCell ref="B169:C169"/>
    <mergeCell ref="A243:A246"/>
    <mergeCell ref="B209:C212"/>
    <mergeCell ref="B208:C208"/>
    <mergeCell ref="B223:C225"/>
    <mergeCell ref="A38:E38"/>
    <mergeCell ref="C18:D18"/>
    <mergeCell ref="B188:C188"/>
    <mergeCell ref="A23:B23"/>
    <mergeCell ref="A170:A173"/>
    <mergeCell ref="B175:C175"/>
    <mergeCell ref="A189:A193"/>
    <mergeCell ref="A102:E102"/>
    <mergeCell ref="A34:E34"/>
    <mergeCell ref="A32:B32"/>
    <mergeCell ref="A110:C110"/>
    <mergeCell ref="A325:B326"/>
    <mergeCell ref="C325:C326"/>
    <mergeCell ref="A316:B316"/>
    <mergeCell ref="A312:B312"/>
    <mergeCell ref="B256:C256"/>
    <mergeCell ref="C299:C300"/>
    <mergeCell ref="A257:A262"/>
    <mergeCell ref="A324:B324"/>
    <mergeCell ref="A323:B323"/>
    <mergeCell ref="A293:B293"/>
    <mergeCell ref="A317:B321"/>
    <mergeCell ref="A182:A185"/>
    <mergeCell ref="A223:A225"/>
    <mergeCell ref="B228:C228"/>
    <mergeCell ref="A286:A289"/>
    <mergeCell ref="B197:C199"/>
    <mergeCell ref="B196:C196"/>
    <mergeCell ref="A197:A199"/>
    <mergeCell ref="A236:A239"/>
    <mergeCell ref="A203:A205"/>
    <mergeCell ref="A342:B346"/>
    <mergeCell ref="A330:B330"/>
    <mergeCell ref="A279:A282"/>
    <mergeCell ref="B286:C289"/>
    <mergeCell ref="C294:C295"/>
    <mergeCell ref="C368:D368"/>
    <mergeCell ref="A333:B333"/>
    <mergeCell ref="C334:C338"/>
    <mergeCell ref="C358:C359"/>
    <mergeCell ref="A328:B328"/>
    <mergeCell ref="A419:B419"/>
    <mergeCell ref="A436:B436"/>
    <mergeCell ref="C367:D367"/>
    <mergeCell ref="B381:C381"/>
    <mergeCell ref="B382:C382"/>
    <mergeCell ref="B379:C379"/>
    <mergeCell ref="A398:E398"/>
    <mergeCell ref="A420:B420"/>
    <mergeCell ref="A369:B369"/>
    <mergeCell ref="A371:B371"/>
    <mergeCell ref="H478:H479"/>
    <mergeCell ref="A329:B329"/>
    <mergeCell ref="H437:H438"/>
    <mergeCell ref="H470:H471"/>
    <mergeCell ref="H464:H465"/>
    <mergeCell ref="H488:H489"/>
    <mergeCell ref="A483:B483"/>
    <mergeCell ref="A471:B475"/>
    <mergeCell ref="C421:C426"/>
    <mergeCell ref="A409:E409"/>
    <mergeCell ref="A505:B505"/>
    <mergeCell ref="H513:H514"/>
    <mergeCell ref="A513:B513"/>
    <mergeCell ref="A512:B512"/>
    <mergeCell ref="H483:H484"/>
    <mergeCell ref="H495:H496"/>
    <mergeCell ref="C519:C520"/>
    <mergeCell ref="A519:B520"/>
    <mergeCell ref="A533:B533"/>
    <mergeCell ref="A534:B534"/>
    <mergeCell ref="H500:H501"/>
    <mergeCell ref="H505:H506"/>
    <mergeCell ref="A524:B524"/>
    <mergeCell ref="A514:B515"/>
    <mergeCell ref="C514:C515"/>
    <mergeCell ref="A504:B504"/>
    <mergeCell ref="A539:B539"/>
    <mergeCell ref="A538:B538"/>
    <mergeCell ref="A535:B535"/>
    <mergeCell ref="A525:B525"/>
    <mergeCell ref="A537:B537"/>
    <mergeCell ref="A527:B527"/>
    <mergeCell ref="A528:B528"/>
    <mergeCell ref="A531:B531"/>
    <mergeCell ref="A372:B372"/>
    <mergeCell ref="C506:C510"/>
    <mergeCell ref="A506:B510"/>
    <mergeCell ref="A414:B417"/>
    <mergeCell ref="H556:H557"/>
    <mergeCell ref="A555:B555"/>
    <mergeCell ref="A556:B556"/>
    <mergeCell ref="F538:G538"/>
    <mergeCell ref="A523:B523"/>
    <mergeCell ref="A522:B522"/>
    <mergeCell ref="B180:C180"/>
    <mergeCell ref="A159:C159"/>
    <mergeCell ref="A127:C127"/>
    <mergeCell ref="B266:C269"/>
    <mergeCell ref="B285:C285"/>
    <mergeCell ref="B216:C219"/>
    <mergeCell ref="A142:C142"/>
    <mergeCell ref="A216:A219"/>
    <mergeCell ref="B202:C202"/>
    <mergeCell ref="B215:C215"/>
    <mergeCell ref="B279:C282"/>
    <mergeCell ref="A557:B561"/>
    <mergeCell ref="C557:C561"/>
    <mergeCell ref="A548:B548"/>
    <mergeCell ref="A549:B549"/>
    <mergeCell ref="A357:B357"/>
    <mergeCell ref="A367:B367"/>
    <mergeCell ref="C372:D372"/>
    <mergeCell ref="A518:B518"/>
    <mergeCell ref="A358:B359"/>
    <mergeCell ref="A85:C85"/>
    <mergeCell ref="A69:E69"/>
    <mergeCell ref="A71:C71"/>
    <mergeCell ref="A76:C76"/>
    <mergeCell ref="A547:B547"/>
    <mergeCell ref="C550:C553"/>
    <mergeCell ref="A517:B517"/>
    <mergeCell ref="A152:E152"/>
    <mergeCell ref="A154:C154"/>
    <mergeCell ref="A123:C123"/>
    <mergeCell ref="A569:B571"/>
    <mergeCell ref="C569:C571"/>
    <mergeCell ref="A563:B563"/>
    <mergeCell ref="A564:B564"/>
    <mergeCell ref="A565:B565"/>
    <mergeCell ref="A550:B553"/>
    <mergeCell ref="A568:B568"/>
    <mergeCell ref="A567:B567"/>
  </mergeCells>
  <printOptions horizontalCentered="1"/>
  <pageMargins left="0.196850393700787" right="0.196850393700787" top="0.0393700787401575" bottom="0.236220472440945" header="0.31496062992126" footer="0.31496062992126"/>
  <pageSetup fitToHeight="0" fitToWidth="1" horizontalDpi="600" verticalDpi="600" orientation="portrait" paperSize="9" scale="65" r:id="rId1"/>
  <headerFooter alignWithMargins="0">
    <oddHeader>&amp;R&amp;P</oddHeader>
    <oddFooter>&amp;L&amp;14A.O. / Disposal&amp;C&amp;14Sr.XEN. / Disposal&amp;R&amp;14COS and D ( South), PTA</oddFooter>
  </headerFooter>
  <rowBreaks count="8" manualBreakCount="8">
    <brk id="59" max="4" man="1"/>
    <brk id="119" max="4" man="1"/>
    <brk id="185" max="4" man="1"/>
    <brk id="262" max="4" man="1"/>
    <brk id="338" max="4" man="1"/>
    <brk id="409" max="4" man="1"/>
    <brk id="485" max="4" man="1"/>
    <brk id="56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23.140625" style="0" customWidth="1"/>
    <col min="2" max="2" width="69.8515625" style="30" customWidth="1"/>
    <col min="3" max="3" width="24.8515625" style="0" customWidth="1"/>
    <col min="4" max="4" width="18.140625" style="0" hidden="1" customWidth="1"/>
    <col min="5" max="5" width="23.140625" style="0" hidden="1" customWidth="1"/>
    <col min="6" max="7" width="9.140625" style="0" hidden="1" customWidth="1"/>
    <col min="8" max="8" width="119.7109375" style="0" customWidth="1"/>
  </cols>
  <sheetData>
    <row r="1" spans="1:5" ht="18">
      <c r="A1" s="315" t="s">
        <v>85</v>
      </c>
      <c r="B1" s="315"/>
      <c r="C1" s="315"/>
      <c r="D1" s="29"/>
      <c r="E1" s="29"/>
    </row>
    <row r="2" spans="1:2" ht="12.75">
      <c r="A2" s="35" t="str">
        <f>scrap!A2</f>
        <v>E - Auction Notice No. -</v>
      </c>
      <c r="B2" s="34" t="str">
        <f>scrap!D2</f>
        <v>EA-54 /PTA-2023-24</v>
      </c>
    </row>
    <row r="3" spans="1:2" ht="12.75">
      <c r="A3" s="35" t="str">
        <f>scrap!A3</f>
        <v>Date of Auction -</v>
      </c>
      <c r="B3" s="34" t="str">
        <f>scrap!D3</f>
        <v>29.11.2023</v>
      </c>
    </row>
    <row r="4" spans="1:2" ht="12.75">
      <c r="A4" s="35"/>
      <c r="B4" s="34"/>
    </row>
    <row r="5" spans="1:3" s="31" customFormat="1" ht="20.25" customHeight="1">
      <c r="A5" s="101" t="s">
        <v>5</v>
      </c>
      <c r="B5" s="102" t="s">
        <v>82</v>
      </c>
      <c r="C5" s="101" t="s">
        <v>83</v>
      </c>
    </row>
    <row r="6" spans="1:8" s="31" customFormat="1" ht="20.25" customHeight="1">
      <c r="A6" s="117" t="s">
        <v>204</v>
      </c>
      <c r="B6" s="154" t="s">
        <v>160</v>
      </c>
      <c r="C6" s="52">
        <v>228</v>
      </c>
      <c r="E6"/>
      <c r="H6" s="150" t="str">
        <f aca="true" t="shared" si="0" ref="H6:H13">CONCATENATE("E-Waste Scrap (Meter scrap), Lying at ",B6,". Quantity in Kg - ",C6,)</f>
        <v>E-Waste Scrap (Meter scrap), Lying at ME LAB PATIALA (Crushed Meter Scrap/E-Waste). Quantity in Kg - 228</v>
      </c>
    </row>
    <row r="7" spans="1:8" s="31" customFormat="1" ht="20.25" customHeight="1">
      <c r="A7" s="117" t="s">
        <v>159</v>
      </c>
      <c r="B7" s="154" t="s">
        <v>148</v>
      </c>
      <c r="C7" s="52">
        <v>310</v>
      </c>
      <c r="E7"/>
      <c r="F7" s="31">
        <v>92</v>
      </c>
      <c r="H7" s="150" t="str">
        <f t="shared" si="0"/>
        <v>E-Waste Scrap (Meter scrap), Lying at ME LAB SANGRUR (Crushed Meter Scrap/E-Waste). Quantity in Kg - 310</v>
      </c>
    </row>
    <row r="8" spans="1:8" s="31" customFormat="1" ht="20.25" customHeight="1">
      <c r="A8" s="117" t="s">
        <v>161</v>
      </c>
      <c r="B8" s="154" t="s">
        <v>149</v>
      </c>
      <c r="C8" s="52">
        <v>55</v>
      </c>
      <c r="E8"/>
      <c r="H8" s="150" t="str">
        <f t="shared" si="0"/>
        <v>E-Waste Scrap (Meter scrap), Lying at ME LAB ROPAR (Crushed Meter Scrap/E-Waste). Quantity in Kg - 55</v>
      </c>
    </row>
    <row r="9" spans="1:8" s="31" customFormat="1" ht="20.25" customHeight="1">
      <c r="A9" s="117" t="s">
        <v>278</v>
      </c>
      <c r="B9" s="154" t="s">
        <v>276</v>
      </c>
      <c r="C9" s="52">
        <v>625.39</v>
      </c>
      <c r="E9"/>
      <c r="H9" s="150" t="str">
        <f t="shared" si="0"/>
        <v>E-Waste Scrap (Meter scrap), Lying at ME LAB MOGA (Crushed Meter Scrap/E-Waste). Quantity in Kg - 625.39</v>
      </c>
    </row>
    <row r="10" spans="1:8" s="31" customFormat="1" ht="20.25" customHeight="1">
      <c r="A10" s="117" t="s">
        <v>279</v>
      </c>
      <c r="B10" s="154" t="s">
        <v>277</v>
      </c>
      <c r="C10" s="52">
        <v>1364.12</v>
      </c>
      <c r="E10"/>
      <c r="H10" s="150" t="str">
        <f t="shared" si="0"/>
        <v>E-Waste Scrap (Meter scrap), Lying at ME LAB SHRI MUKTSAR SAHIB (Crushed Meter Scrap/E-Waste). Quantity in Kg - 1364.12</v>
      </c>
    </row>
    <row r="11" spans="1:8" s="31" customFormat="1" ht="20.25" customHeight="1">
      <c r="A11" s="117" t="s">
        <v>280</v>
      </c>
      <c r="B11" s="156" t="s">
        <v>154</v>
      </c>
      <c r="C11" s="92">
        <v>1270</v>
      </c>
      <c r="E11"/>
      <c r="G11" s="162"/>
      <c r="H11" s="150" t="str">
        <f t="shared" si="0"/>
        <v>E-Waste Scrap (Meter scrap), Lying at ME LAB PATIALA  (Electronic Meter Scrap/E-Waste )  . Quantity in Kg - 1270</v>
      </c>
    </row>
    <row r="12" spans="1:8" s="31" customFormat="1" ht="20.25" customHeight="1">
      <c r="A12" s="117" t="s">
        <v>281</v>
      </c>
      <c r="B12" s="156" t="s">
        <v>155</v>
      </c>
      <c r="C12" s="92">
        <v>1555</v>
      </c>
      <c r="E12"/>
      <c r="H12" s="150" t="str">
        <f t="shared" si="0"/>
        <v>E-Waste Scrap (Meter scrap), Lying at ME LAB ROPAR  (Electronic Meter Scrap/E-Waste )  . Quantity in Kg - 1555</v>
      </c>
    </row>
    <row r="13" spans="1:8" s="31" customFormat="1" ht="20.25" customHeight="1">
      <c r="A13" s="117" t="s">
        <v>282</v>
      </c>
      <c r="B13" s="156" t="s">
        <v>285</v>
      </c>
      <c r="C13" s="92">
        <v>1715</v>
      </c>
      <c r="E13"/>
      <c r="F13" s="31" t="s">
        <v>243</v>
      </c>
      <c r="H13" s="150" t="str">
        <f t="shared" si="0"/>
        <v>E-Waste Scrap (Meter scrap), Lying at ME LAB SANGRUR  (Electronic Meter Scrap/E-Waste )  . Quantity in Kg - 1715</v>
      </c>
    </row>
    <row r="14" spans="1:5" s="31" customFormat="1" ht="15" customHeight="1">
      <c r="A14" s="42"/>
      <c r="B14" s="43"/>
      <c r="C14" s="110"/>
      <c r="E14"/>
    </row>
    <row r="15" spans="1:3" s="31" customFormat="1" ht="15.75">
      <c r="A15" s="36" t="s">
        <v>84</v>
      </c>
      <c r="B15" s="37" t="s">
        <v>88</v>
      </c>
      <c r="C15" s="38" t="s">
        <v>87</v>
      </c>
    </row>
    <row r="16" spans="1:3" s="31" customFormat="1" ht="15.75">
      <c r="A16" s="36" t="s">
        <v>86</v>
      </c>
      <c r="B16" s="36" t="s">
        <v>86</v>
      </c>
      <c r="C16" s="36" t="s">
        <v>86</v>
      </c>
    </row>
    <row r="17" spans="1:3" s="31" customFormat="1" ht="15">
      <c r="A17" s="32"/>
      <c r="B17" s="33"/>
      <c r="C17" s="32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Rajiv</dc:creator>
  <cp:keywords/>
  <dc:description/>
  <cp:lastModifiedBy>Raj Accountant</cp:lastModifiedBy>
  <cp:lastPrinted>2023-11-24T06:03:00Z</cp:lastPrinted>
  <dcterms:created xsi:type="dcterms:W3CDTF">1996-10-14T23:33:28Z</dcterms:created>
  <dcterms:modified xsi:type="dcterms:W3CDTF">2023-11-24T10:13:06Z</dcterms:modified>
  <cp:category/>
  <cp:version/>
  <cp:contentType/>
  <cp:contentStatus/>
</cp:coreProperties>
</file>