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773" activeTab="0"/>
  </bookViews>
  <sheets>
    <sheet name="scrap" sheetId="1" r:id="rId1"/>
    <sheet name="E-WASTE" sheetId="2" r:id="rId2"/>
  </sheets>
  <definedNames>
    <definedName name="_xlnm.Print_Area" localSheetId="1">'E-WASTE'!$A$1:$C$28</definedName>
    <definedName name="_xlnm.Print_Area" localSheetId="0">'scrap'!$A$1:$E$1135</definedName>
  </definedNames>
  <calcPr fullCalcOnLoad="1"/>
</workbook>
</file>

<file path=xl/sharedStrings.xml><?xml version="1.0" encoding="utf-8"?>
<sst xmlns="http://schemas.openxmlformats.org/spreadsheetml/2006/main" count="1892" uniqueCount="697">
  <si>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</si>
  <si>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</si>
  <si>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</si>
  <si>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</si>
  <si>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</si>
  <si>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</si>
  <si>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</si>
  <si>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</si>
  <si>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</si>
  <si>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</si>
  <si>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</si>
  <si>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</si>
  <si>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</si>
  <si>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</si>
  <si>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</si>
  <si>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</si>
  <si>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</si>
  <si>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</si>
  <si>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</si>
  <si>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</si>
  <si>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</si>
  <si>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</si>
  <si>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</si>
  <si>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</si>
  <si>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</si>
  <si>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</si>
  <si>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</si>
  <si>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</si>
  <si>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</si>
  <si>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</si>
  <si>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</si>
  <si>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</si>
  <si>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</si>
  <si>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</si>
  <si>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</si>
  <si>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</si>
  <si>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</si>
  <si>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</si>
  <si>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</si>
  <si>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</si>
  <si>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</si>
  <si>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</si>
  <si>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</si>
  <si>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</si>
  <si>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</si>
  <si>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</si>
  <si>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</si>
  <si>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</si>
  <si>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</si>
  <si>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</si>
  <si>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</si>
  <si>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</si>
  <si>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</si>
  <si>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</si>
  <si>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</si>
  <si>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</si>
  <si>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</si>
  <si>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</si>
  <si>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</si>
  <si>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</si>
  <si>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</si>
  <si>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</si>
  <si>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</si>
  <si>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</si>
  <si>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</si>
  <si>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</si>
  <si>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</si>
  <si>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</si>
  <si>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</si>
  <si>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</si>
  <si>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</si>
  <si>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</si>
  <si>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</si>
  <si>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</si>
  <si>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</si>
  <si>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</si>
  <si>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</si>
  <si>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</si>
  <si>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</si>
  <si>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</si>
  <si>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</si>
  <si>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</si>
  <si>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</si>
  <si>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</si>
  <si>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</si>
  <si>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</si>
  <si>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</si>
  <si>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</si>
  <si>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</si>
  <si>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</si>
  <si>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</si>
  <si>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</si>
  <si>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</si>
  <si>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</si>
  <si>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</si>
  <si>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</si>
  <si>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</si>
  <si>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</si>
  <si>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</si>
  <si>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</si>
  <si>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</si>
  <si>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</si>
  <si>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</si>
  <si>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</si>
  <si>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</si>
  <si>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</si>
  <si>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</si>
  <si>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</si>
  <si>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</si>
  <si>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</si>
  <si>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</si>
  <si>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</si>
  <si>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</si>
  <si>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</si>
  <si>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</si>
  <si>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</si>
  <si>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</si>
  <si>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</si>
  <si>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</si>
  <si>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</si>
  <si>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</si>
  <si>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</si>
  <si>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</si>
  <si>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</si>
  <si>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</si>
  <si>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</si>
  <si>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</si>
  <si>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</si>
  <si>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</si>
  <si>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</si>
  <si>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</si>
  <si>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</si>
  <si>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</si>
  <si>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</si>
  <si>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</si>
  <si>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</si>
  <si>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</si>
  <si>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</si>
  <si>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</si>
  <si>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</si>
  <si>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</si>
  <si>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</si>
  <si>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</si>
  <si>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</si>
  <si>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</si>
  <si>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</si>
  <si>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</si>
  <si>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</si>
  <si>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</si>
  <si>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</si>
  <si>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</si>
  <si>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</si>
  <si>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</si>
  <si>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</si>
  <si>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</si>
  <si>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</si>
  <si>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</si>
  <si>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</si>
  <si>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</si>
  <si>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</si>
  <si>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</si>
  <si>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</si>
  <si>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</si>
  <si>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</si>
  <si>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</si>
  <si>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</si>
  <si>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</si>
  <si>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</si>
  <si>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</si>
  <si>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</si>
  <si>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</si>
  <si>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</si>
  <si>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</si>
  <si>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</si>
  <si>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</si>
  <si>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</si>
  <si>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</si>
  <si>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</si>
  <si>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</si>
  <si>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</si>
  <si>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</si>
  <si>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</si>
  <si>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</si>
  <si>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</si>
  <si>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</si>
  <si>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</si>
  <si>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</si>
  <si>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</si>
  <si>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</si>
  <si>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</si>
  <si>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</si>
  <si>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</si>
  <si>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</si>
  <si>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</si>
  <si>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</si>
  <si>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</si>
  <si>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</si>
  <si>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</si>
  <si>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</si>
  <si>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</si>
  <si>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</si>
  <si>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</si>
  <si>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</si>
  <si>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</si>
  <si>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</si>
  <si>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</si>
  <si>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</si>
  <si>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</si>
  <si>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</si>
  <si>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</si>
  <si>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</si>
  <si>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</si>
  <si>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</si>
  <si>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</si>
  <si>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</si>
  <si>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</si>
  <si>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</si>
  <si>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</si>
  <si>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</si>
  <si>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</si>
  <si>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</si>
  <si>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</si>
  <si>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</si>
  <si>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</si>
  <si>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</si>
  <si>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</si>
  <si>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</si>
  <si>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</si>
  <si>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</si>
  <si>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</si>
  <si>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</si>
  <si>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</si>
  <si>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</si>
  <si>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</si>
  <si>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</si>
  <si>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</si>
  <si>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</si>
  <si>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</si>
  <si>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</si>
  <si>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</si>
  <si>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</si>
  <si>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</si>
  <si>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</si>
  <si>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</si>
  <si>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</si>
  <si>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</si>
  <si>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</si>
  <si>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</si>
  <si>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</si>
  <si>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</si>
  <si>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</si>
  <si>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</si>
  <si>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</si>
  <si>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</si>
  <si>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</si>
  <si>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</si>
  <si>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</si>
  <si>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</si>
  <si>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</si>
  <si>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</si>
  <si>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</si>
  <si>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</si>
  <si>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</si>
  <si>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</si>
  <si>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</si>
  <si>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</si>
  <si>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</si>
  <si>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</si>
  <si>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</si>
  <si>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</si>
  <si>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</si>
  <si>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</si>
  <si>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</si>
  <si>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</si>
  <si>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</si>
  <si>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</si>
  <si>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</si>
  <si>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</si>
  <si>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</si>
  <si>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</si>
  <si>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</si>
  <si>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</si>
  <si>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</si>
  <si>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</si>
  <si>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</si>
  <si>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</si>
  <si>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</si>
  <si>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</si>
  <si>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</si>
  <si>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</si>
  <si>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</si>
  <si>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</si>
  <si>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</si>
  <si>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</si>
  <si>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</si>
  <si>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</si>
  <si>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</si>
  <si>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</si>
  <si>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</si>
  <si>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</si>
  <si>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</si>
  <si>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</si>
  <si>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</si>
  <si>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</si>
  <si>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</si>
  <si>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</si>
  <si>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</si>
  <si>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</si>
  <si>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</si>
  <si>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</si>
  <si>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</si>
  <si>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</si>
  <si>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</si>
  <si>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</si>
  <si>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</si>
  <si>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</si>
  <si>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</si>
  <si>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</si>
  <si>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</si>
  <si>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</si>
  <si>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new</t>
  </si>
  <si>
    <t>Lot no. E - 16</t>
  </si>
  <si>
    <t>Lot No A-15</t>
  </si>
  <si>
    <t>Lot No A-16</t>
  </si>
  <si>
    <t>Lot No A-17</t>
  </si>
  <si>
    <t>Central Store Malout</t>
  </si>
  <si>
    <t>Lot no. I-7</t>
  </si>
  <si>
    <t>OL Shri Mukfsar Sahib</t>
  </si>
  <si>
    <t xml:space="preserve">ME LAB SHRI MUKSAR SAHIB  (Electronic Meter Scrap/E-Waste )  </t>
  </si>
  <si>
    <t>Lot No. I-15</t>
  </si>
  <si>
    <t>TRY Barnala</t>
  </si>
  <si>
    <t>CS Patiala (.025 MT intermingle )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</si>
  <si>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</si>
  <si>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</si>
  <si>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</si>
  <si>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</si>
  <si>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</si>
  <si>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</si>
  <si>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</si>
  <si>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</si>
  <si>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</si>
  <si>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</si>
  <si>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</si>
  <si>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</si>
  <si>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</si>
  <si>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</si>
  <si>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</si>
  <si>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</si>
  <si>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</si>
  <si>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</si>
  <si>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</si>
  <si>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</si>
  <si>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</si>
  <si>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</si>
  <si>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</si>
  <si>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</si>
  <si>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</si>
  <si>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</si>
  <si>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</si>
  <si>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</si>
  <si>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</si>
  <si>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</si>
  <si>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</si>
  <si>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</si>
  <si>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</si>
  <si>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</si>
  <si>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</si>
  <si>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</si>
  <si>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</si>
  <si>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</si>
  <si>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</si>
  <si>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</si>
  <si>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</si>
  <si>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</si>
  <si>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</si>
  <si>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</si>
  <si>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</si>
  <si>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</si>
  <si>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</si>
  <si>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</si>
  <si>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</si>
  <si>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</si>
  <si>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</si>
  <si>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</si>
  <si>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</si>
  <si>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</si>
  <si>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</si>
  <si>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</si>
  <si>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</si>
  <si>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</si>
  <si>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</si>
  <si>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</si>
  <si>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</si>
  <si>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</si>
  <si>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 xml:space="preserve">U/S CT </t>
  </si>
  <si>
    <t>Lot no. I-9</t>
  </si>
  <si>
    <t>Iron scrap of Bush fixings</t>
  </si>
  <si>
    <t>CS PATIALA  (U/S STABLIZERS)</t>
  </si>
  <si>
    <t>NUCON 1, JR 2, PP 1, SKSU 1,</t>
  </si>
  <si>
    <t>PP 1, SKSU 1, JR 5, SICL 2, DURABLE 2, SHIVSHKTI 1</t>
  </si>
  <si>
    <t>JB 8, SICL 1, PTEL 1, ARD 1</t>
  </si>
  <si>
    <t>M&amp;M 1, JR 2, NPC 1,</t>
  </si>
  <si>
    <t>SICL 1, JB 1, RTS 1</t>
  </si>
  <si>
    <t>MRN 1,</t>
  </si>
  <si>
    <t>SICL 2, MANU POWER 1</t>
  </si>
  <si>
    <t>SICL 1, HITECH 2, JB 1,</t>
  </si>
  <si>
    <t xml:space="preserve">NPC 1, PP 1(unstandard tf's)      </t>
  </si>
  <si>
    <t xml:space="preserve">JR 1, AGARWAL 1,(unstandard tf's)      </t>
  </si>
  <si>
    <t>195/2023</t>
  </si>
  <si>
    <t>196/2023</t>
  </si>
  <si>
    <t>197/2023</t>
  </si>
  <si>
    <t>198/2023</t>
  </si>
  <si>
    <t>199/2023</t>
  </si>
  <si>
    <t>201/2023</t>
  </si>
  <si>
    <t>202/2023</t>
  </si>
  <si>
    <t>203/2023</t>
  </si>
  <si>
    <t>200/2023</t>
  </si>
  <si>
    <t>204/2023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</si>
  <si>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</si>
  <si>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</si>
  <si>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</si>
  <si>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</si>
  <si>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</si>
  <si>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</si>
  <si>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</si>
  <si>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</si>
  <si>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</si>
  <si>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</si>
  <si>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</si>
  <si>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SHRI KRISHNA-1,SARAF-1</t>
  </si>
  <si>
    <t>AGGARWAL-7,GTB-1,HR-1,JB-1,JR-2,MS-5,SICL-2,SUSHIL-2, UTTAM-3</t>
  </si>
  <si>
    <t>SICL-1,NUCON-1,JB-1,MUSKAN-1,VKG-1</t>
  </si>
  <si>
    <t>WNP-23 (unstandard tf's)</t>
  </si>
  <si>
    <t>WNP-17 (unstandard tf's)</t>
  </si>
  <si>
    <t>Lot No AA-2</t>
  </si>
  <si>
    <t>Lot No. I-16</t>
  </si>
  <si>
    <t>Lot No. I-17</t>
  </si>
  <si>
    <t>Lot No. I-18</t>
  </si>
  <si>
    <t>DURABLE=1,HRP=3.JB=1,JM=1,JR=3,MS=2,NUCON=4,PP=4,SARAF=1,SHIVA=1,TA=4</t>
  </si>
  <si>
    <t>ARD=3,ECO=4,JB=12,PTEL=1,SICL=5</t>
  </si>
  <si>
    <t>ARD=2,ECO=1,JB=12,JR=1,PTEL=5,SICL=4</t>
  </si>
  <si>
    <t>ARD=1,ECO=3.JB=16,PP=1,PTEL=2,SICL=2</t>
  </si>
  <si>
    <t>ARD=4,ECO=5,JB=10,JR=2,PTEL=1,SICL=3</t>
  </si>
  <si>
    <t>25 KVA (CORE &amp; TANK)</t>
  </si>
  <si>
    <t>LIBERTY T/FS BATHINDA -24</t>
  </si>
  <si>
    <t xml:space="preserve">ME LAB SANGRUR  (Electronic Meter Scrap/E-Waste )  </t>
  </si>
  <si>
    <t xml:space="preserve">ME LAB ROPAR  (Electronic Meter Scrap/E-Waste )  </t>
  </si>
  <si>
    <t>HR-1</t>
  </si>
  <si>
    <t>HR-1, PP-1, SHIVALIK-4</t>
  </si>
  <si>
    <t>WNP-4  (unstandard tf's)</t>
  </si>
  <si>
    <t>JB-4, PAN-1, PTEL-3, SICL-1, MCPL-2, SARAF-1, NUCON-1, DURABLE-1, SHIV SHAKTI-1, SHIVALIK-5</t>
  </si>
  <si>
    <t>DTPL-1</t>
  </si>
  <si>
    <t>PP-2, ARD-1,PTEL-1,SARAF-1</t>
  </si>
  <si>
    <t>WNP-19 (unstandard tf's)</t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</si>
  <si>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</si>
  <si>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</si>
  <si>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</si>
  <si>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</si>
  <si>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</si>
  <si>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</si>
  <si>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</si>
  <si>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</si>
  <si>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I-21</t>
  </si>
  <si>
    <t>Lot No. I-22</t>
  </si>
  <si>
    <t>Lot no. Q-29</t>
  </si>
  <si>
    <t>CS Ferozepur (.015 MT Intermingle)</t>
  </si>
  <si>
    <t>Lot No A-18</t>
  </si>
  <si>
    <t>Lot no. G - 12</t>
  </si>
  <si>
    <t>OL Shri Mukatsar Sahib</t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</si>
  <si>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</si>
  <si>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</si>
  <si>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</si>
  <si>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</si>
  <si>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</si>
  <si>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</si>
  <si>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</si>
  <si>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</si>
  <si>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</si>
  <si>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</si>
  <si>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</si>
  <si>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</si>
  <si>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</si>
  <si>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</si>
  <si>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</si>
  <si>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</si>
  <si>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</si>
  <si>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</si>
  <si>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</si>
  <si>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</si>
  <si>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</si>
  <si>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</si>
  <si>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</si>
  <si>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</si>
  <si>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</si>
  <si>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</si>
  <si>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</si>
  <si>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Lot no. E - 19</t>
  </si>
  <si>
    <t>G.I. Wire/GSL scrap</t>
  </si>
  <si>
    <t>Lot No B-11</t>
  </si>
  <si>
    <t>KKK/2023/170</t>
  </si>
  <si>
    <t xml:space="preserve">DTPL = 8, MRN = 3, TA = 1, PTEL = 2, SKY WAY = 1, SHK = 1, HRP = 1, NPC = 1, PP = 2                                                                    </t>
  </si>
  <si>
    <t>KKK/2023/175</t>
  </si>
  <si>
    <t xml:space="preserve">UBE = 1, NPC = 3, SKY WAY = 1, DTPL = 1                                  </t>
  </si>
  <si>
    <t>KKK/2023/176</t>
  </si>
  <si>
    <t xml:space="preserve">PP = 1, PTEL = 1, NSL = 1, SUSHIL = 1, JB = 1, DTPL = 1, JR = 1 </t>
  </si>
  <si>
    <t>KKK/2023/177</t>
  </si>
  <si>
    <t xml:space="preserve">WNP = 01 NO. (unstandard tf's)                                                                                         </t>
  </si>
  <si>
    <t>KKK/2023/179</t>
  </si>
  <si>
    <t xml:space="preserve">PP = 1, MRN = 1, SEF = 1, SHK = 1, HRP = 1, SIC = 1                  </t>
  </si>
  <si>
    <t>KKK/2023/174</t>
  </si>
  <si>
    <t xml:space="preserve">SIC = 2, PTEL = 2, EPS = 4, JB = 2, ARD = 3, SBJ = 1 </t>
  </si>
  <si>
    <t>KKK/2023/173</t>
  </si>
  <si>
    <t xml:space="preserve">TA = 1, ACCURATE = 1                                                                                  </t>
  </si>
  <si>
    <t>KKK/2023/180</t>
  </si>
  <si>
    <t xml:space="preserve">WNP = 5, SEF = 1, ECE = 1, JB = 2, TA = 1                                            </t>
  </si>
  <si>
    <t>KKK/2023/169</t>
  </si>
  <si>
    <t xml:space="preserve">WNP = 09 NO.(unstandard tf's)                                                                       </t>
  </si>
  <si>
    <t>KKK/2023/171</t>
  </si>
  <si>
    <t xml:space="preserve">WNP = 16 NO. (unstandard tf's)                                                                     </t>
  </si>
  <si>
    <t>KKK/2023/172</t>
  </si>
  <si>
    <t xml:space="preserve">16  KVA                     </t>
  </si>
  <si>
    <t xml:space="preserve">WNP = 05 NO.  (unstandard tf's)                                                                     </t>
  </si>
  <si>
    <t>KKK/2023/178</t>
  </si>
  <si>
    <t xml:space="preserve">PTEL = 1, NSL = 1, VIJAI = 1, NPC = 1, SIC = 2 </t>
  </si>
  <si>
    <t xml:space="preserve">10   KVA                  </t>
  </si>
  <si>
    <t>10  KVA</t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</si>
  <si>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</si>
  <si>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</si>
  <si>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</si>
  <si>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</si>
  <si>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</si>
  <si>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</si>
  <si>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</si>
  <si>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</si>
  <si>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</si>
  <si>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CS Bathinda (.134 MT intermingle)</t>
  </si>
  <si>
    <t>Lot no. E - 20</t>
  </si>
  <si>
    <t>Lot no. E - 21</t>
  </si>
  <si>
    <t>Lot no. G - 14</t>
  </si>
  <si>
    <t>M.S Iron scrap</t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</si>
  <si>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</si>
  <si>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NUCON-3,MAHASHAKTI-5,MANUPOWER-1,SICL-1</t>
  </si>
  <si>
    <t>Lot no. E - 22</t>
  </si>
  <si>
    <t>Lot no. E - 23</t>
  </si>
  <si>
    <t>Lot No B-12</t>
  </si>
  <si>
    <t>Lot No B-13</t>
  </si>
  <si>
    <t xml:space="preserve">10  KVA                   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</si>
  <si>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</si>
  <si>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</si>
  <si>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</si>
  <si>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</si>
  <si>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</si>
  <si>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</si>
  <si>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</si>
  <si>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</si>
  <si>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</si>
  <si>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</si>
  <si>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</si>
  <si>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</si>
  <si>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</si>
  <si>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</si>
  <si>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</si>
  <si>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</si>
  <si>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</si>
  <si>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</si>
  <si>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</si>
  <si>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</si>
  <si>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</si>
  <si>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</si>
  <si>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</si>
  <si>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.314 im e</t>
  </si>
  <si>
    <t>Lot no. G - 15</t>
  </si>
  <si>
    <t>Lot no. Q-30</t>
  </si>
  <si>
    <t>.025 im e</t>
  </si>
  <si>
    <t>Outlet store Nabha (.023 MT Intermingle)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</si>
  <si>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</si>
  <si>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</si>
  <si>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</si>
  <si>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</si>
  <si>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</si>
  <si>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</si>
  <si>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Lot no. G - 16</t>
  </si>
  <si>
    <t>OLNabha</t>
  </si>
  <si>
    <t>Lot no. G - 17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</si>
  <si>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</si>
  <si>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</si>
  <si>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</si>
  <si>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</si>
  <si>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</si>
  <si>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</si>
  <si>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</si>
  <si>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</si>
  <si>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</si>
  <si>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</si>
  <si>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</si>
  <si>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</si>
  <si>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</si>
  <si>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</si>
  <si>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AGGARWAL=2,JB=4,JR=5,MS=2,NV=1,PP=2,PTEL=1,SARAF=1,SICL=3,SK=1,SUSHIL=2,UTTAM=1</t>
  </si>
  <si>
    <t>AGGARWAL=2,ECO=2,JINDAL=1,JM=1,JR=4,,MS=4,NBGL=1,PAN=2,PP=2,PTEL=1,PVJ=1,SICL=1,   UTTAM=3</t>
  </si>
  <si>
    <t>AGGARWAL=3,ECO=2,GTB=2,HITECH=1,JB=1,JR=7,PP=4,PTEL=1,SARAF=1,SICL=1,UTTAM=2</t>
  </si>
  <si>
    <t>AGGARWAL=1,ARD=1,DURABLE=1,ECO=1,HITECH=1,JB=4,JM=2, JR=5,MS=2,MUSKAN=1,NUCON=1,PP=1,PTEL=1,SARAF=1,SICK=1,UTTAM=1</t>
  </si>
  <si>
    <t>BGL=1,ECO=1,JB=2,JM=4,JR=7,MS=4,PP=1,SARAF=1,SUSHIL=2,UTTAM=2</t>
  </si>
  <si>
    <t>AGGARWAL=1,JM=5,JR=1,MS=1,PP=3,SICL=1,SUSHIL=1</t>
  </si>
  <si>
    <t>25 KVA  (CORE &amp; TANK)</t>
  </si>
  <si>
    <t>AGGARWAL=1,ECO=2,HRP-1, JB=2,JM=6,JM=6,JR=5,MUSKAN=1,NICON=1,PP=2,SICL=2,SUSHIL=1,UTTAM=1</t>
  </si>
  <si>
    <t>LIBERTY  T/FS BATHINDA-15</t>
  </si>
  <si>
    <t>NSL-1,PTEL-2,NPC-4,SEF-2</t>
  </si>
  <si>
    <t>ECN-2,JB-1,UBE-3,SIC-1,ADR-1</t>
  </si>
  <si>
    <t>NSL-1,PPI-1,NPC-1,JB-1</t>
  </si>
  <si>
    <t>JB-3,SEF-1</t>
  </si>
  <si>
    <t>ELECTRA -1, JB-1</t>
  </si>
  <si>
    <t>SEF-1,NSL-2,JB-1,MODERN-1,BENMORE-1</t>
  </si>
  <si>
    <t>NPC-1,TA-2,JB-2,NSL-2</t>
  </si>
  <si>
    <t>Single  Phase Copper Wound T/F</t>
  </si>
  <si>
    <t>NSL=2</t>
  </si>
  <si>
    <t>JK-1 (unstandard tf's)</t>
  </si>
  <si>
    <t xml:space="preserve">JB -2 </t>
  </si>
  <si>
    <t>ECN-7,JB-12,NBC-1</t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</si>
  <si>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</si>
  <si>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</si>
  <si>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 xml:space="preserve">TRY ROPAR </t>
    </r>
  </si>
  <si>
    <t>EA-64 /PTA-2023-24</t>
  </si>
  <si>
    <t>16.01.2024</t>
  </si>
  <si>
    <t>.465 im e</t>
  </si>
  <si>
    <t>S &amp; T Store Bathinda (1.367 MT intermingle )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</si>
  <si>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</si>
  <si>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</si>
  <si>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</si>
  <si>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</si>
  <si>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</si>
  <si>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</si>
  <si>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</si>
  <si>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</si>
  <si>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</si>
  <si>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</si>
  <si>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</si>
  <si>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</si>
  <si>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</si>
  <si>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</si>
  <si>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</si>
  <si>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</si>
  <si>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</si>
  <si>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</si>
  <si>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</si>
  <si>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</si>
  <si>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</si>
  <si>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</si>
  <si>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</si>
  <si>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</si>
  <si>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</si>
  <si>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</si>
  <si>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</si>
  <si>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</si>
  <si>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</si>
  <si>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</si>
  <si>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</si>
  <si>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</si>
  <si>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</si>
  <si>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</si>
  <si>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</si>
  <si>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</si>
  <si>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</si>
  <si>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</si>
  <si>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</si>
  <si>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</si>
  <si>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t>Lot No A-20</t>
  </si>
  <si>
    <t>Lot No A-21</t>
  </si>
  <si>
    <t>Lot No B-15</t>
  </si>
  <si>
    <t>Lot No B-16</t>
  </si>
  <si>
    <t>Lot No B-17</t>
  </si>
  <si>
    <t>Lot no. E - 25</t>
  </si>
  <si>
    <t>Lot No B-18</t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</si>
  <si>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</si>
  <si>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</si>
  <si>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</si>
  <si>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</si>
  <si>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t>Lot no. Q-31</t>
  </si>
  <si>
    <t>Lot no. Q-32</t>
  </si>
  <si>
    <t>Lot no. Q-33</t>
  </si>
  <si>
    <t>Outlet store Bhagta Bhai Ka( .068 MT Intermingle)</t>
  </si>
  <si>
    <t>0.068 im new</t>
  </si>
  <si>
    <t>UTTAM-1,WNP-15 (unstandard tf's)</t>
  </si>
  <si>
    <t>SEN-4,JB-2,ECE-1,ELECTRA-3,TA-1</t>
  </si>
  <si>
    <t>NSL-1,SIC-2,SEN-1,ELECTRA-1,PME-1</t>
  </si>
  <si>
    <t xml:space="preserve">NOTE : Before lifting of Transformers (From Lot no. C-1 to C-32), HT/LT copper winding coils of transformers shall be mutilated by the purchaser. </t>
  </si>
  <si>
    <t>Lot no. Q-34</t>
  </si>
  <si>
    <t>q5 lot and q 34 (out od 4.112…2 mt separate)</t>
  </si>
  <si>
    <t>Lot No B-19</t>
  </si>
  <si>
    <t>Lot No B-20</t>
  </si>
  <si>
    <t>Lot No B-21</t>
  </si>
  <si>
    <t>Lot No B-22</t>
  </si>
  <si>
    <t xml:space="preserve">CS Kotkapura </t>
  </si>
  <si>
    <t>Lot No A-22</t>
  </si>
  <si>
    <t>Lot No A-23</t>
  </si>
  <si>
    <t>Lot No A-24</t>
  </si>
  <si>
    <t>Lot no. Q-9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</si>
</sst>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</numFmts>
  <fonts count="8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sz val="11"/>
      <color indexed="36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sz val="11"/>
      <color rgb="FF7030A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top"/>
    </xf>
    <xf numFmtId="0" fontId="77" fillId="0" borderId="0" xfId="0" applyFont="1" applyAlignment="1">
      <alignment horizontal="center" vertical="top"/>
    </xf>
    <xf numFmtId="0" fontId="77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top"/>
    </xf>
    <xf numFmtId="1" fontId="78" fillId="0" borderId="0" xfId="0" applyNumberFormat="1" applyFont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184" fontId="74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4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4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4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4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/>
    </xf>
    <xf numFmtId="184" fontId="79" fillId="0" borderId="21" xfId="0" applyNumberFormat="1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5" fillId="0" borderId="16" xfId="0" applyFont="1" applyFill="1" applyBorder="1" applyAlignment="1">
      <alignment vertical="center"/>
    </xf>
    <xf numFmtId="0" fontId="75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2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4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left" vertical="top" wrapText="1"/>
    </xf>
    <xf numFmtId="184" fontId="74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76" fillId="0" borderId="13" xfId="0" applyFont="1" applyBorder="1" applyAlignment="1">
      <alignment/>
    </xf>
    <xf numFmtId="184" fontId="70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top" wrapText="1"/>
    </xf>
    <xf numFmtId="184" fontId="74" fillId="0" borderId="0" xfId="0" applyNumberFormat="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4" fillId="0" borderId="25" xfId="0" applyNumberFormat="1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top" wrapText="1"/>
    </xf>
    <xf numFmtId="0" fontId="85" fillId="0" borderId="13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top" wrapText="1"/>
    </xf>
    <xf numFmtId="184" fontId="2" fillId="0" borderId="15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79" fillId="0" borderId="2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top" wrapText="1"/>
    </xf>
    <xf numFmtId="0" fontId="79" fillId="0" borderId="13" xfId="0" applyFont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center" wrapText="1"/>
    </xf>
    <xf numFmtId="184" fontId="79" fillId="0" borderId="15" xfId="0" applyNumberFormat="1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4" fillId="0" borderId="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184" fontId="74" fillId="0" borderId="26" xfId="0" applyNumberFormat="1" applyFont="1" applyFill="1" applyBorder="1" applyAlignment="1">
      <alignment horizontal="center" vertical="center" wrapText="1"/>
    </xf>
    <xf numFmtId="184" fontId="77" fillId="0" borderId="12" xfId="0" applyNumberFormat="1" applyFont="1" applyFill="1" applyBorder="1" applyAlignment="1">
      <alignment horizontal="center" vertical="center" wrapText="1"/>
    </xf>
    <xf numFmtId="1" fontId="79" fillId="0" borderId="15" xfId="0" applyNumberFormat="1" applyFont="1" applyFill="1" applyBorder="1" applyAlignment="1">
      <alignment horizontal="center" vertical="center" wrapText="1"/>
    </xf>
    <xf numFmtId="1" fontId="79" fillId="0" borderId="16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74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79" fillId="0" borderId="11" xfId="0" applyNumberFormat="1" applyFont="1" applyFill="1" applyBorder="1" applyAlignment="1">
      <alignment horizontal="center"/>
    </xf>
    <xf numFmtId="184" fontId="74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79" fillId="0" borderId="16" xfId="0" applyNumberFormat="1" applyFont="1" applyFill="1" applyBorder="1" applyAlignment="1">
      <alignment horizontal="center"/>
    </xf>
    <xf numFmtId="184" fontId="74" fillId="0" borderId="12" xfId="0" applyNumberFormat="1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184" fontId="79" fillId="0" borderId="16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7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 wrapText="1"/>
    </xf>
    <xf numFmtId="0" fontId="79" fillId="0" borderId="13" xfId="58" applyFont="1" applyFill="1" applyBorder="1" applyAlignment="1">
      <alignment horizontal="center" vertical="center"/>
      <protection/>
    </xf>
    <xf numFmtId="0" fontId="79" fillId="0" borderId="13" xfId="58" applyFont="1" applyBorder="1" applyAlignment="1">
      <alignment horizontal="center" vertical="center" wrapText="1"/>
      <protection/>
    </xf>
    <xf numFmtId="0" fontId="79" fillId="0" borderId="13" xfId="58" applyFont="1" applyBorder="1" applyAlignment="1">
      <alignment horizontal="center" vertical="center"/>
      <protection/>
    </xf>
    <xf numFmtId="0" fontId="79" fillId="0" borderId="13" xfId="57" applyFont="1" applyFill="1" applyBorder="1" applyAlignment="1">
      <alignment horizontal="center" vertical="center"/>
      <protection/>
    </xf>
    <xf numFmtId="0" fontId="79" fillId="32" borderId="13" xfId="57" applyFont="1" applyFill="1" applyBorder="1" applyAlignment="1">
      <alignment horizontal="center" vertical="center"/>
      <protection/>
    </xf>
    <xf numFmtId="0" fontId="79" fillId="0" borderId="13" xfId="57" applyFont="1" applyBorder="1" applyAlignment="1">
      <alignment horizontal="center" vertical="center" wrapText="1"/>
      <protection/>
    </xf>
    <xf numFmtId="0" fontId="79" fillId="0" borderId="13" xfId="57" applyFont="1" applyBorder="1" applyAlignment="1">
      <alignment horizontal="center" vertical="center"/>
      <protection/>
    </xf>
    <xf numFmtId="0" fontId="79" fillId="33" borderId="13" xfId="57" applyFont="1" applyFill="1" applyBorder="1" applyAlignment="1">
      <alignment horizontal="center" vertical="center"/>
      <protection/>
    </xf>
    <xf numFmtId="0" fontId="79" fillId="33" borderId="13" xfId="58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top" wrapText="1"/>
    </xf>
    <xf numFmtId="0" fontId="87" fillId="0" borderId="14" xfId="0" applyFont="1" applyFill="1" applyBorder="1" applyAlignment="1">
      <alignment horizontal="center"/>
    </xf>
    <xf numFmtId="184" fontId="87" fillId="0" borderId="15" xfId="0" applyNumberFormat="1" applyFont="1" applyFill="1" applyBorder="1" applyAlignment="1">
      <alignment horizontal="center" vertical="center" wrapText="1"/>
    </xf>
    <xf numFmtId="0" fontId="74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4" fillId="0" borderId="13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3" xfId="0" applyNumberFormat="1" applyFont="1" applyBorder="1" applyAlignment="1">
      <alignment horizontal="center" vertical="center"/>
    </xf>
    <xf numFmtId="49" fontId="79" fillId="0" borderId="13" xfId="0" applyNumberFormat="1" applyFont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74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184" fontId="79" fillId="0" borderId="20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184" fontId="79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Fill="1" applyAlignment="1">
      <alignment horizontal="center" vertical="center" wrapText="1"/>
    </xf>
    <xf numFmtId="0" fontId="79" fillId="0" borderId="13" xfId="57" applyFont="1" applyFill="1" applyBorder="1" applyAlignment="1">
      <alignment horizontal="center" vertical="center" wrapText="1"/>
      <protection/>
    </xf>
    <xf numFmtId="0" fontId="79" fillId="0" borderId="13" xfId="58" applyFont="1" applyFill="1" applyBorder="1" applyAlignment="1">
      <alignment horizontal="center" vertical="center" wrapText="1"/>
      <protection/>
    </xf>
    <xf numFmtId="0" fontId="79" fillId="0" borderId="14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/>
    </xf>
    <xf numFmtId="184" fontId="79" fillId="0" borderId="13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184" fontId="79" fillId="0" borderId="15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left" vertical="top" wrapText="1"/>
    </xf>
    <xf numFmtId="0" fontId="75" fillId="0" borderId="16" xfId="0" applyFont="1" applyFill="1" applyBorder="1" applyAlignment="1">
      <alignment horizontal="left" vertical="top" wrapText="1"/>
    </xf>
    <xf numFmtId="0" fontId="79" fillId="0" borderId="13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184" fontId="79" fillId="0" borderId="1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79" fillId="0" borderId="14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4" fillId="0" borderId="21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justify" vertical="top" wrapText="1"/>
    </xf>
    <xf numFmtId="0" fontId="75" fillId="0" borderId="21" xfId="0" applyFont="1" applyFill="1" applyBorder="1" applyAlignment="1">
      <alignment horizontal="justify" vertical="top" wrapText="1"/>
    </xf>
    <xf numFmtId="0" fontId="73" fillId="0" borderId="28" xfId="0" applyFont="1" applyFill="1" applyBorder="1" applyAlignment="1">
      <alignment horizontal="center" vertical="top" wrapText="1"/>
    </xf>
    <xf numFmtId="0" fontId="73" fillId="0" borderId="29" xfId="0" applyFont="1" applyFill="1" applyBorder="1" applyAlignment="1">
      <alignment horizontal="center" vertical="top" wrapText="1"/>
    </xf>
    <xf numFmtId="0" fontId="84" fillId="0" borderId="12" xfId="0" applyFont="1" applyFill="1" applyBorder="1" applyAlignment="1">
      <alignment horizontal="center" vertical="top" wrapText="1"/>
    </xf>
    <xf numFmtId="0" fontId="84" fillId="0" borderId="19" xfId="0" applyFont="1" applyFill="1" applyBorder="1" applyAlignment="1">
      <alignment horizontal="center" vertical="top" wrapText="1"/>
    </xf>
    <xf numFmtId="0" fontId="73" fillId="0" borderId="12" xfId="0" applyFont="1" applyFill="1" applyBorder="1" applyAlignment="1">
      <alignment horizontal="center" vertical="top" wrapText="1"/>
    </xf>
    <xf numFmtId="0" fontId="79" fillId="0" borderId="20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4" fillId="0" borderId="30" xfId="0" applyFont="1" applyFill="1" applyBorder="1" applyAlignment="1">
      <alignment horizontal="center" vertical="top" wrapText="1"/>
    </xf>
    <xf numFmtId="0" fontId="74" fillId="0" borderId="31" xfId="0" applyFont="1" applyFill="1" applyBorder="1" applyAlignment="1">
      <alignment horizontal="center" vertical="top" wrapText="1"/>
    </xf>
    <xf numFmtId="0" fontId="73" fillId="0" borderId="17" xfId="0" applyFont="1" applyFill="1" applyBorder="1" applyAlignment="1">
      <alignment horizontal="left" vertical="top" wrapText="1"/>
    </xf>
    <xf numFmtId="0" fontId="73" fillId="0" borderId="18" xfId="0" applyFont="1" applyFill="1" applyBorder="1" applyAlignment="1">
      <alignment horizontal="left" vertical="top" wrapText="1"/>
    </xf>
    <xf numFmtId="0" fontId="74" fillId="0" borderId="32" xfId="0" applyFont="1" applyFill="1" applyBorder="1" applyAlignment="1">
      <alignment horizontal="center" vertical="top" wrapText="1"/>
    </xf>
    <xf numFmtId="0" fontId="74" fillId="0" borderId="33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horizontal="left" vertical="top" wrapText="1"/>
    </xf>
    <xf numFmtId="0" fontId="73" fillId="0" borderId="16" xfId="0" applyFont="1" applyFill="1" applyBorder="1" applyAlignment="1">
      <alignment horizontal="left" vertical="top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left" vertical="top" wrapText="1"/>
    </xf>
    <xf numFmtId="0" fontId="75" fillId="0" borderId="16" xfId="0" applyFont="1" applyFill="1" applyBorder="1" applyAlignment="1">
      <alignment horizontal="left" vertical="top" wrapText="1"/>
    </xf>
    <xf numFmtId="0" fontId="73" fillId="0" borderId="15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5" fillId="0" borderId="15" xfId="0" applyFont="1" applyFill="1" applyBorder="1" applyAlignment="1">
      <alignment horizontal="justify" vertical="top" wrapText="1"/>
    </xf>
    <xf numFmtId="0" fontId="75" fillId="0" borderId="16" xfId="0" applyFont="1" applyFill="1" applyBorder="1" applyAlignment="1">
      <alignment horizontal="justify" vertical="top" wrapText="1"/>
    </xf>
    <xf numFmtId="0" fontId="73" fillId="0" borderId="15" xfId="0" applyFont="1" applyFill="1" applyBorder="1" applyAlignment="1">
      <alignment horizontal="left" wrapText="1"/>
    </xf>
    <xf numFmtId="0" fontId="73" fillId="0" borderId="16" xfId="0" applyFont="1" applyFill="1" applyBorder="1" applyAlignment="1">
      <alignment horizontal="left" wrapText="1"/>
    </xf>
    <xf numFmtId="184" fontId="79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5"/>
  <sheetViews>
    <sheetView tabSelected="1" view="pageBreakPreview" zoomScaleNormal="70" zoomScaleSheetLayoutView="100" zoomScalePageLayoutView="70" workbookViewId="0" topLeftCell="A1">
      <selection activeCell="H917" sqref="H917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29.00390625" style="2" customWidth="1"/>
    <col min="6" max="6" width="14.28125" style="1" hidden="1" customWidth="1"/>
    <col min="7" max="7" width="37.00390625" style="1" hidden="1" customWidth="1"/>
    <col min="8" max="8" width="159.57421875" style="9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33" t="s">
        <v>72</v>
      </c>
      <c r="B1" s="334"/>
      <c r="C1" s="334"/>
      <c r="D1" s="334"/>
      <c r="E1" s="334"/>
    </row>
    <row r="2" spans="1:4" ht="19.5" customHeight="1">
      <c r="A2" s="335" t="s">
        <v>9</v>
      </c>
      <c r="B2" s="336"/>
      <c r="C2" s="336"/>
      <c r="D2" s="4" t="s">
        <v>622</v>
      </c>
    </row>
    <row r="3" spans="1:4" ht="16.5" customHeight="1">
      <c r="A3" s="335" t="s">
        <v>10</v>
      </c>
      <c r="B3" s="336"/>
      <c r="C3" s="336"/>
      <c r="D3" s="4" t="s">
        <v>623</v>
      </c>
    </row>
    <row r="4" spans="1:5" ht="31.5" customHeight="1">
      <c r="A4" s="337" t="s">
        <v>233</v>
      </c>
      <c r="B4" s="338"/>
      <c r="C4" s="338"/>
      <c r="D4" s="338"/>
      <c r="E4" s="338"/>
    </row>
    <row r="5" spans="1:6" ht="19.5" customHeight="1">
      <c r="A5" s="329" t="s">
        <v>0</v>
      </c>
      <c r="B5" s="330"/>
      <c r="C5" s="330"/>
      <c r="D5" s="330"/>
      <c r="E5" s="65" t="s">
        <v>7</v>
      </c>
      <c r="F5" s="121"/>
    </row>
    <row r="6" spans="1:8" ht="17.25" customHeight="1">
      <c r="A6" s="275" t="s">
        <v>74</v>
      </c>
      <c r="B6" s="276"/>
      <c r="C6" s="277" t="s">
        <v>145</v>
      </c>
      <c r="D6" s="277"/>
      <c r="E6" s="46">
        <v>4.044</v>
      </c>
      <c r="H6" s="93" t="str">
        <f>CONCATENATE("Aluminium Conductor Steel Reinforced scrap, Lying at ",C6,". Quantity in MT - ",E6,)</f>
        <v>Aluminium Conductor Steel Reinforced scrap, Lying at Outlet store Shri Muktsar sahib. Quantity in MT - 4.044</v>
      </c>
    </row>
    <row r="7" spans="1:8" ht="17.25" customHeight="1">
      <c r="A7" s="275" t="s">
        <v>114</v>
      </c>
      <c r="B7" s="276"/>
      <c r="C7" s="277" t="s">
        <v>201</v>
      </c>
      <c r="D7" s="277"/>
      <c r="E7" s="46">
        <v>4.993</v>
      </c>
      <c r="H7" s="93" t="str">
        <f aca="true" t="shared" si="0" ref="H7:H29">CONCATENATE("Aluminium Conductor Steel Reinforced scrap, Lying at ",C7,". Quantity in MT - ",E7,)</f>
        <v>Aluminium Conductor Steel Reinforced scrap, Lying at CS Kotkapura  (.237 MT Intermingle). Quantity in MT - 4.993</v>
      </c>
    </row>
    <row r="8" spans="1:8" ht="17.25" customHeight="1">
      <c r="A8" s="275" t="s">
        <v>161</v>
      </c>
      <c r="B8" s="276"/>
      <c r="C8" s="277" t="s">
        <v>692</v>
      </c>
      <c r="D8" s="277"/>
      <c r="E8" s="46">
        <v>8</v>
      </c>
      <c r="H8" s="93" t="str">
        <f t="shared" si="0"/>
        <v>Aluminium Conductor Steel Reinforced scrap, Lying at CS Kotkapura . Quantity in MT - 8</v>
      </c>
    </row>
    <row r="9" spans="1:8" ht="17.25" customHeight="1">
      <c r="A9" s="275" t="s">
        <v>178</v>
      </c>
      <c r="B9" s="276"/>
      <c r="C9" s="277" t="s">
        <v>179</v>
      </c>
      <c r="D9" s="277"/>
      <c r="E9" s="46">
        <v>6.904</v>
      </c>
      <c r="G9" s="121"/>
      <c r="H9" s="93" t="str">
        <f t="shared" si="0"/>
        <v>Aluminium Conductor Steel Reinforced scrap, Lying at Outlet store Malerkotla. Quantity in MT - 6.904</v>
      </c>
    </row>
    <row r="10" spans="1:8" ht="17.25" customHeight="1">
      <c r="A10" s="275" t="s">
        <v>162</v>
      </c>
      <c r="B10" s="276"/>
      <c r="C10" s="288" t="s">
        <v>574</v>
      </c>
      <c r="D10" s="288"/>
      <c r="E10" s="194">
        <v>6.473</v>
      </c>
      <c r="F10" s="1">
        <v>3.911</v>
      </c>
      <c r="G10" s="99"/>
      <c r="H10" s="93" t="str">
        <f t="shared" si="0"/>
        <v>Aluminium Conductor Steel Reinforced scrap, Lying at Outlet store Nabha (.023 MT Intermingle). Quantity in MT - 6.473</v>
      </c>
    </row>
    <row r="11" spans="1:8" ht="17.25" customHeight="1">
      <c r="A11" s="275" t="s">
        <v>180</v>
      </c>
      <c r="B11" s="276"/>
      <c r="C11" s="277" t="s">
        <v>186</v>
      </c>
      <c r="D11" s="277"/>
      <c r="E11" s="46">
        <v>13.855</v>
      </c>
      <c r="H11" s="93" t="str">
        <f t="shared" si="0"/>
        <v>Aluminium Conductor Steel Reinforced scrap, Lying at Outlet store Mansa. Quantity in MT - 13.855</v>
      </c>
    </row>
    <row r="12" spans="1:8" ht="17.25" customHeight="1">
      <c r="A12" s="275" t="s">
        <v>163</v>
      </c>
      <c r="B12" s="276"/>
      <c r="C12" s="288" t="s">
        <v>289</v>
      </c>
      <c r="D12" s="288"/>
      <c r="E12" s="194">
        <v>9.847</v>
      </c>
      <c r="F12" s="1">
        <v>4.958</v>
      </c>
      <c r="G12" s="1" t="s">
        <v>570</v>
      </c>
      <c r="H12" s="93" t="str">
        <f t="shared" si="0"/>
        <v>Aluminium Conductor Steel Reinforced scrap, Lying at CS Mohali (.314 MT intermingle). Quantity in MT - 9.847</v>
      </c>
    </row>
    <row r="13" spans="1:8" ht="17.25" customHeight="1">
      <c r="A13" s="275" t="s">
        <v>202</v>
      </c>
      <c r="B13" s="276"/>
      <c r="C13" s="288" t="s">
        <v>185</v>
      </c>
      <c r="D13" s="288"/>
      <c r="E13" s="194">
        <v>6.437</v>
      </c>
      <c r="F13" s="1">
        <v>4.567</v>
      </c>
      <c r="H13" s="93" t="str">
        <f t="shared" si="0"/>
        <v>Aluminium Conductor Steel Reinforced scrap, Lying at Outlet store Ropar. Quantity in MT - 6.437</v>
      </c>
    </row>
    <row r="14" spans="1:8" ht="17.25" customHeight="1">
      <c r="A14" s="275" t="s">
        <v>183</v>
      </c>
      <c r="B14" s="276"/>
      <c r="C14" s="277" t="s">
        <v>263</v>
      </c>
      <c r="D14" s="277"/>
      <c r="E14" s="46">
        <v>1.876</v>
      </c>
      <c r="H14" s="93" t="str">
        <f t="shared" si="0"/>
        <v>Aluminium Conductor Steel Reinforced scrap, Lying at Outlet store Fazilka. Quantity in MT - 1.876</v>
      </c>
    </row>
    <row r="15" spans="1:8" ht="17.25" customHeight="1">
      <c r="A15" s="275" t="s">
        <v>184</v>
      </c>
      <c r="B15" s="276"/>
      <c r="C15" s="277" t="s">
        <v>535</v>
      </c>
      <c r="D15" s="277"/>
      <c r="E15" s="46">
        <v>5.991</v>
      </c>
      <c r="G15" s="121"/>
      <c r="H15" s="93" t="str">
        <f t="shared" si="0"/>
        <v>Aluminium Conductor Steel Reinforced scrap, Lying at CS Bathinda (.134 MT intermingle). Quantity in MT - 5.991</v>
      </c>
    </row>
    <row r="16" spans="1:8" ht="17.25" customHeight="1">
      <c r="A16" s="275" t="s">
        <v>204</v>
      </c>
      <c r="B16" s="276"/>
      <c r="C16" s="319" t="s">
        <v>680</v>
      </c>
      <c r="D16" s="319"/>
      <c r="E16" s="248">
        <v>3.436</v>
      </c>
      <c r="F16" s="1" t="s">
        <v>681</v>
      </c>
      <c r="H16" s="93" t="str">
        <f t="shared" si="0"/>
        <v>Aluminium Conductor Steel Reinforced scrap, Lying at Outlet store Bhagta Bhai Ka( .068 MT Intermingle). Quantity in MT - 3.436</v>
      </c>
    </row>
    <row r="17" spans="1:8" ht="17.25" customHeight="1">
      <c r="A17" s="275" t="s">
        <v>268</v>
      </c>
      <c r="B17" s="276"/>
      <c r="C17" s="277" t="s">
        <v>79</v>
      </c>
      <c r="D17" s="277"/>
      <c r="E17" s="46">
        <v>6.326</v>
      </c>
      <c r="H17" s="93" t="str">
        <f t="shared" si="0"/>
        <v>Aluminium Conductor Steel Reinforced scrap, Lying at CS Sangrur. Quantity in MT - 6.326</v>
      </c>
    </row>
    <row r="18" spans="1:8" ht="17.25" customHeight="1">
      <c r="A18" s="275" t="s">
        <v>318</v>
      </c>
      <c r="B18" s="276"/>
      <c r="C18" s="277" t="s">
        <v>181</v>
      </c>
      <c r="D18" s="277"/>
      <c r="E18" s="46">
        <v>3.726</v>
      </c>
      <c r="H18" s="93" t="str">
        <f t="shared" si="0"/>
        <v>Aluminium Conductor Steel Reinforced scrap, Lying at Outlet store Patran. Quantity in MT - 3.726</v>
      </c>
    </row>
    <row r="19" spans="1:8" ht="17.25" customHeight="1">
      <c r="A19" s="275" t="s">
        <v>319</v>
      </c>
      <c r="B19" s="276"/>
      <c r="C19" s="277" t="s">
        <v>182</v>
      </c>
      <c r="D19" s="277"/>
      <c r="E19" s="46">
        <v>5.076</v>
      </c>
      <c r="H19" s="93" t="str">
        <f t="shared" si="0"/>
        <v>Aluminium Conductor Steel Reinforced scrap, Lying at Outlet store Barnala. Quantity in MT - 5.076</v>
      </c>
    </row>
    <row r="20" spans="1:8" ht="17.25" customHeight="1">
      <c r="A20" s="275" t="s">
        <v>322</v>
      </c>
      <c r="B20" s="276"/>
      <c r="C20" s="278" t="s">
        <v>625</v>
      </c>
      <c r="D20" s="279"/>
      <c r="E20" s="194">
        <v>31.367</v>
      </c>
      <c r="F20" s="1">
        <v>27.403</v>
      </c>
      <c r="G20" s="1" t="s">
        <v>624</v>
      </c>
      <c r="H20" s="93" t="str">
        <f t="shared" si="0"/>
        <v>Aluminium Conductor Steel Reinforced scrap, Lying at S &amp; T Store Bathinda (1.367 MT intermingle ). Quantity in MT - 31.367</v>
      </c>
    </row>
    <row r="21" spans="1:8" ht="17.25" customHeight="1">
      <c r="A21" s="275" t="s">
        <v>323</v>
      </c>
      <c r="B21" s="276"/>
      <c r="C21" s="278" t="s">
        <v>57</v>
      </c>
      <c r="D21" s="279"/>
      <c r="E21" s="257">
        <v>10</v>
      </c>
      <c r="F21" s="1" t="s">
        <v>320</v>
      </c>
      <c r="H21" s="93" t="str">
        <f t="shared" si="0"/>
        <v>Aluminium Conductor Steel Reinforced scrap, Lying at S &amp; T Store Bathinda. Quantity in MT - 10</v>
      </c>
    </row>
    <row r="22" spans="1:8" ht="17.25" customHeight="1">
      <c r="A22" s="275" t="s">
        <v>324</v>
      </c>
      <c r="B22" s="276"/>
      <c r="C22" s="278" t="s">
        <v>57</v>
      </c>
      <c r="D22" s="279"/>
      <c r="E22" s="231">
        <v>10</v>
      </c>
      <c r="F22" s="1" t="s">
        <v>242</v>
      </c>
      <c r="H22" s="93" t="str">
        <f t="shared" si="0"/>
        <v>Aluminium Conductor Steel Reinforced scrap, Lying at S &amp; T Store Bathinda. Quantity in MT - 10</v>
      </c>
    </row>
    <row r="23" spans="1:8" ht="17.25" customHeight="1">
      <c r="A23" s="275" t="s">
        <v>466</v>
      </c>
      <c r="B23" s="276"/>
      <c r="C23" s="278" t="s">
        <v>57</v>
      </c>
      <c r="D23" s="279"/>
      <c r="E23" s="257">
        <v>10</v>
      </c>
      <c r="F23" s="1" t="s">
        <v>242</v>
      </c>
      <c r="H23" s="93" t="str">
        <f t="shared" si="0"/>
        <v>Aluminium Conductor Steel Reinforced scrap, Lying at S &amp; T Store Bathinda. Quantity in MT - 10</v>
      </c>
    </row>
    <row r="24" spans="1:8" ht="17.25" customHeight="1">
      <c r="A24" s="275" t="s">
        <v>575</v>
      </c>
      <c r="B24" s="276"/>
      <c r="C24" s="278" t="s">
        <v>57</v>
      </c>
      <c r="D24" s="279"/>
      <c r="E24" s="231">
        <v>10</v>
      </c>
      <c r="F24" s="1" t="s">
        <v>242</v>
      </c>
      <c r="H24" s="93" t="str">
        <f t="shared" si="0"/>
        <v>Aluminium Conductor Steel Reinforced scrap, Lying at S &amp; T Store Bathinda. Quantity in MT - 10</v>
      </c>
    </row>
    <row r="25" spans="1:8" ht="17.25" customHeight="1">
      <c r="A25" s="275" t="s">
        <v>666</v>
      </c>
      <c r="B25" s="276"/>
      <c r="C25" s="277" t="s">
        <v>95</v>
      </c>
      <c r="D25" s="275"/>
      <c r="E25" s="46">
        <v>7.153</v>
      </c>
      <c r="H25" s="93" t="str">
        <f t="shared" si="0"/>
        <v>Aluminium Conductor Steel Reinforced scrap, Lying at CS Malout. Quantity in MT - 7.153</v>
      </c>
    </row>
    <row r="26" spans="1:8" ht="17.25" customHeight="1">
      <c r="A26" s="275" t="s">
        <v>667</v>
      </c>
      <c r="B26" s="276"/>
      <c r="C26" s="288" t="s">
        <v>331</v>
      </c>
      <c r="D26" s="278"/>
      <c r="E26" s="194">
        <v>8.001</v>
      </c>
      <c r="F26" s="121">
        <v>4.645</v>
      </c>
      <c r="G26" s="1" t="s">
        <v>573</v>
      </c>
      <c r="H26" s="93" t="str">
        <f t="shared" si="0"/>
        <v>Aluminium Conductor Steel Reinforced scrap, Lying at CS Patiala (.025 MT intermingle ). Quantity in MT - 8.001</v>
      </c>
    </row>
    <row r="27" spans="1:8" ht="17.25" customHeight="1">
      <c r="A27" s="275" t="s">
        <v>693</v>
      </c>
      <c r="B27" s="276"/>
      <c r="C27" s="300" t="s">
        <v>267</v>
      </c>
      <c r="D27" s="300"/>
      <c r="E27" s="197">
        <v>5.611</v>
      </c>
      <c r="F27" s="121"/>
      <c r="H27" s="93" t="str">
        <f t="shared" si="0"/>
        <v>Aluminium Conductor Steel Reinforced scrap, Lying at Outlet store Moga. Quantity in MT - 5.611</v>
      </c>
    </row>
    <row r="28" spans="1:8" ht="17.25" customHeight="1">
      <c r="A28" s="275" t="s">
        <v>694</v>
      </c>
      <c r="B28" s="276"/>
      <c r="C28" s="277" t="s">
        <v>465</v>
      </c>
      <c r="D28" s="277"/>
      <c r="E28" s="46">
        <v>1.966</v>
      </c>
      <c r="F28" s="121"/>
      <c r="H28" s="93" t="str">
        <f t="shared" si="0"/>
        <v>Aluminium Conductor Steel Reinforced scrap, Lying at CS Ferozepur (.015 MT Intermingle). Quantity in MT - 1.966</v>
      </c>
    </row>
    <row r="29" spans="1:8" ht="17.25" customHeight="1" thickBot="1">
      <c r="A29" s="275" t="s">
        <v>695</v>
      </c>
      <c r="B29" s="276"/>
      <c r="C29" s="288" t="s">
        <v>231</v>
      </c>
      <c r="D29" s="288"/>
      <c r="E29" s="194">
        <v>0.68</v>
      </c>
      <c r="F29" s="121" t="s">
        <v>320</v>
      </c>
      <c r="H29" s="93" t="str">
        <f t="shared" si="0"/>
        <v>Aluminium Conductor Steel Reinforced scrap, Lying at Outlet store Rajpura. Quantity in MT - 0.68</v>
      </c>
    </row>
    <row r="30" spans="1:5" ht="17.25" customHeight="1" thickBot="1">
      <c r="A30" s="323" t="s">
        <v>113</v>
      </c>
      <c r="B30" s="324"/>
      <c r="C30" s="318"/>
      <c r="D30" s="318"/>
      <c r="E30" s="124">
        <f>SUM(E6:E29)</f>
        <v>181.762</v>
      </c>
    </row>
    <row r="31" spans="1:5" ht="17.25" customHeight="1">
      <c r="A31" s="144"/>
      <c r="B31" s="144"/>
      <c r="C31" s="142"/>
      <c r="D31" s="142"/>
      <c r="E31" s="145"/>
    </row>
    <row r="32" spans="1:5" ht="17.25" customHeight="1">
      <c r="A32" s="325" t="s">
        <v>380</v>
      </c>
      <c r="B32" s="326"/>
      <c r="C32" s="326"/>
      <c r="D32" s="326"/>
      <c r="E32" s="65" t="s">
        <v>7</v>
      </c>
    </row>
    <row r="33" spans="1:8" ht="17.25" customHeight="1">
      <c r="A33" s="277" t="s">
        <v>381</v>
      </c>
      <c r="B33" s="277"/>
      <c r="C33" s="277" t="s">
        <v>267</v>
      </c>
      <c r="D33" s="277"/>
      <c r="E33" s="73">
        <v>0.431</v>
      </c>
      <c r="H33" s="93" t="str">
        <f>CONCATENATE("LT ABC Cable scrap without insulation, Lying at ",C33,". Quantity in MT - ",E33,)</f>
        <v>LT ABC Cable scrap without insulation, Lying at Outlet store Moga. Quantity in MT - 0.431</v>
      </c>
    </row>
    <row r="34" spans="1:8" ht="17.25" customHeight="1" thickBot="1">
      <c r="A34" s="292" t="s">
        <v>434</v>
      </c>
      <c r="B34" s="293"/>
      <c r="C34" s="278" t="s">
        <v>231</v>
      </c>
      <c r="D34" s="297"/>
      <c r="E34" s="250">
        <v>1.088</v>
      </c>
      <c r="F34" s="1">
        <v>1.058</v>
      </c>
      <c r="H34" s="93" t="str">
        <f>CONCATENATE("LT ABC Cable scrap without insulation, Lying at ",C34,". Quantity in MT - ",E34,)</f>
        <v>LT ABC Cable scrap without insulation, Lying at Outlet store Rajpura. Quantity in MT - 1.088</v>
      </c>
    </row>
    <row r="35" spans="1:5" ht="17.25" customHeight="1" thickBot="1">
      <c r="A35" s="327" t="s">
        <v>113</v>
      </c>
      <c r="B35" s="328"/>
      <c r="C35" s="320"/>
      <c r="D35" s="320"/>
      <c r="E35" s="154">
        <f>E33+E34</f>
        <v>1.5190000000000001</v>
      </c>
    </row>
    <row r="36" spans="1:5" ht="17.25" customHeight="1">
      <c r="A36" s="122"/>
      <c r="B36" s="122"/>
      <c r="C36" s="123"/>
      <c r="D36" s="316"/>
      <c r="E36" s="317"/>
    </row>
    <row r="37" spans="1:5" ht="17.25" customHeight="1">
      <c r="A37" s="329" t="s">
        <v>12</v>
      </c>
      <c r="B37" s="330"/>
      <c r="C37" s="330"/>
      <c r="D37" s="330"/>
      <c r="E37" s="65" t="s">
        <v>7</v>
      </c>
    </row>
    <row r="38" spans="1:8" ht="17.25" customHeight="1">
      <c r="A38" s="275" t="s">
        <v>73</v>
      </c>
      <c r="B38" s="276"/>
      <c r="C38" s="277" t="s">
        <v>28</v>
      </c>
      <c r="D38" s="277"/>
      <c r="E38" s="73">
        <v>8.316</v>
      </c>
      <c r="H38" s="93" t="str">
        <f aca="true" t="shared" si="1" ref="H38:H59">CONCATENATE("Damaged Distribution Transformer's HT/LT Aluminium coils scrap with insulation, Lying at ",C38,". Quantity in MT - ",E38,)</f>
        <v>Damaged Distribution Transformer's HT/LT Aluminium coils scrap with insulation, Lying at TRY Malerkotla. Quantity in MT - 8.316</v>
      </c>
    </row>
    <row r="39" spans="1:8" ht="17.25" customHeight="1">
      <c r="A39" s="275" t="s">
        <v>122</v>
      </c>
      <c r="B39" s="276"/>
      <c r="C39" s="277" t="s">
        <v>136</v>
      </c>
      <c r="D39" s="277"/>
      <c r="E39" s="73">
        <v>4.066</v>
      </c>
      <c r="H39" s="93" t="str">
        <f t="shared" si="1"/>
        <v>Damaged Distribution Transformer's HT/LT Aluminium coils scrap with insulation, Lying at TRY Patran. Quantity in MT - 4.066</v>
      </c>
    </row>
    <row r="40" spans="1:8" ht="17.25" customHeight="1">
      <c r="A40" s="275" t="s">
        <v>123</v>
      </c>
      <c r="B40" s="276"/>
      <c r="C40" s="277" t="s">
        <v>136</v>
      </c>
      <c r="D40" s="277"/>
      <c r="E40" s="73">
        <v>10</v>
      </c>
      <c r="H40" s="93" t="str">
        <f t="shared" si="1"/>
        <v>Damaged Distribution Transformer's HT/LT Aluminium coils scrap with insulation, Lying at TRY Patran. Quantity in MT - 10</v>
      </c>
    </row>
    <row r="41" spans="1:8" ht="17.25" customHeight="1">
      <c r="A41" s="275" t="s">
        <v>205</v>
      </c>
      <c r="B41" s="276"/>
      <c r="C41" s="288" t="s">
        <v>248</v>
      </c>
      <c r="D41" s="288"/>
      <c r="E41" s="166">
        <v>12.08</v>
      </c>
      <c r="F41" s="1">
        <v>10.362</v>
      </c>
      <c r="H41" s="93" t="str">
        <f t="shared" si="1"/>
        <v>Damaged Distribution Transformer's HT/LT Aluminium coils scrap with insulation, Lying at TRY Kotkapura. Quantity in MT - 12.08</v>
      </c>
    </row>
    <row r="42" spans="1:8" ht="17.25" customHeight="1">
      <c r="A42" s="275" t="s">
        <v>158</v>
      </c>
      <c r="B42" s="276"/>
      <c r="C42" s="277" t="s">
        <v>248</v>
      </c>
      <c r="D42" s="277"/>
      <c r="E42" s="73">
        <v>10</v>
      </c>
      <c r="H42" s="93" t="str">
        <f t="shared" si="1"/>
        <v>Damaged Distribution Transformer's HT/LT Aluminium coils scrap with insulation, Lying at TRY Kotkapura. Quantity in MT - 10</v>
      </c>
    </row>
    <row r="43" spans="1:8" ht="17.25" customHeight="1">
      <c r="A43" s="275" t="s">
        <v>187</v>
      </c>
      <c r="B43" s="276"/>
      <c r="C43" s="277" t="s">
        <v>248</v>
      </c>
      <c r="D43" s="277"/>
      <c r="E43" s="73">
        <v>10</v>
      </c>
      <c r="H43" s="93" t="str">
        <f t="shared" si="1"/>
        <v>Damaged Distribution Transformer's HT/LT Aluminium coils scrap with insulation, Lying at TRY Kotkapura. Quantity in MT - 10</v>
      </c>
    </row>
    <row r="44" spans="1:8" ht="17.25" customHeight="1">
      <c r="A44" s="275" t="s">
        <v>249</v>
      </c>
      <c r="B44" s="276"/>
      <c r="C44" s="288" t="s">
        <v>248</v>
      </c>
      <c r="D44" s="288"/>
      <c r="E44" s="166">
        <v>10</v>
      </c>
      <c r="F44" s="1" t="s">
        <v>242</v>
      </c>
      <c r="H44" s="93" t="str">
        <f t="shared" si="1"/>
        <v>Damaged Distribution Transformer's HT/LT Aluminium coils scrap with insulation, Lying at TRY Kotkapura. Quantity in MT - 10</v>
      </c>
    </row>
    <row r="45" spans="1:8" ht="17.25" customHeight="1">
      <c r="A45" s="275" t="s">
        <v>165</v>
      </c>
      <c r="B45" s="276"/>
      <c r="C45" s="277" t="s">
        <v>164</v>
      </c>
      <c r="D45" s="277"/>
      <c r="E45" s="73">
        <v>13.906</v>
      </c>
      <c r="F45" s="121"/>
      <c r="H45" s="93" t="str">
        <f t="shared" si="1"/>
        <v>Damaged Distribution Transformer's HT/LT Aluminium coils scrap with insulation, Lying at TRY Malout. Quantity in MT - 13.906</v>
      </c>
    </row>
    <row r="46" spans="1:8" ht="17.25" customHeight="1">
      <c r="A46" s="275" t="s">
        <v>251</v>
      </c>
      <c r="B46" s="276"/>
      <c r="C46" s="277" t="s">
        <v>164</v>
      </c>
      <c r="D46" s="277"/>
      <c r="E46" s="73">
        <v>10</v>
      </c>
      <c r="F46" s="121"/>
      <c r="H46" s="93" t="str">
        <f t="shared" si="1"/>
        <v>Damaged Distribution Transformer's HT/LT Aluminium coils scrap with insulation, Lying at TRY Malout. Quantity in MT - 10</v>
      </c>
    </row>
    <row r="47" spans="1:8" ht="17.25" customHeight="1">
      <c r="A47" s="275" t="s">
        <v>264</v>
      </c>
      <c r="B47" s="276"/>
      <c r="C47" s="277" t="s">
        <v>166</v>
      </c>
      <c r="D47" s="277"/>
      <c r="E47" s="73">
        <v>16</v>
      </c>
      <c r="H47" s="93" t="str">
        <f t="shared" si="1"/>
        <v>Damaged Distribution Transformer's HT/LT Aluminium coils scrap with insulation, Lying at TRY Mansa. Quantity in MT - 16</v>
      </c>
    </row>
    <row r="48" spans="1:8" ht="17.25" customHeight="1">
      <c r="A48" s="275" t="s">
        <v>498</v>
      </c>
      <c r="B48" s="276"/>
      <c r="C48" s="277" t="s">
        <v>166</v>
      </c>
      <c r="D48" s="277"/>
      <c r="E48" s="73">
        <v>8.64</v>
      </c>
      <c r="H48" s="93" t="str">
        <f t="shared" si="1"/>
        <v>Damaged Distribution Transformer's HT/LT Aluminium coils scrap with insulation, Lying at TRY Mansa. Quantity in MT - 8.64</v>
      </c>
    </row>
    <row r="49" spans="1:8" ht="17.25" customHeight="1">
      <c r="A49" s="275" t="s">
        <v>544</v>
      </c>
      <c r="B49" s="276"/>
      <c r="C49" s="277" t="s">
        <v>166</v>
      </c>
      <c r="D49" s="277"/>
      <c r="E49" s="73">
        <v>10</v>
      </c>
      <c r="H49" s="93" t="str">
        <f t="shared" si="1"/>
        <v>Damaged Distribution Transformer's HT/LT Aluminium coils scrap with insulation, Lying at TRY Mansa. Quantity in MT - 10</v>
      </c>
    </row>
    <row r="50" spans="1:8" ht="17.25" customHeight="1">
      <c r="A50" s="275" t="s">
        <v>545</v>
      </c>
      <c r="B50" s="276"/>
      <c r="C50" s="277" t="s">
        <v>166</v>
      </c>
      <c r="D50" s="277"/>
      <c r="E50" s="73">
        <v>10</v>
      </c>
      <c r="H50" s="93" t="str">
        <f t="shared" si="1"/>
        <v>Damaged Distribution Transformer's HT/LT Aluminium coils scrap with insulation, Lying at TRY Mansa. Quantity in MT - 10</v>
      </c>
    </row>
    <row r="51" spans="1:8" ht="17.25" customHeight="1">
      <c r="A51" s="275" t="s">
        <v>655</v>
      </c>
      <c r="B51" s="276"/>
      <c r="C51" s="288" t="s">
        <v>222</v>
      </c>
      <c r="D51" s="288"/>
      <c r="E51" s="166">
        <v>18.36</v>
      </c>
      <c r="F51" s="1">
        <v>4.858</v>
      </c>
      <c r="H51" s="93" t="str">
        <f t="shared" si="1"/>
        <v>Damaged Distribution Transformer's HT/LT Aluminium coils scrap with insulation, Lying at TRY Moga. Quantity in MT - 18.36</v>
      </c>
    </row>
    <row r="52" spans="1:8" ht="17.25" customHeight="1">
      <c r="A52" s="275" t="s">
        <v>668</v>
      </c>
      <c r="B52" s="276"/>
      <c r="C52" s="288" t="s">
        <v>222</v>
      </c>
      <c r="D52" s="288"/>
      <c r="E52" s="166">
        <v>10</v>
      </c>
      <c r="F52" s="1" t="s">
        <v>242</v>
      </c>
      <c r="H52" s="93" t="str">
        <f t="shared" si="1"/>
        <v>Damaged Distribution Transformer's HT/LT Aluminium coils scrap with insulation, Lying at TRY Moga. Quantity in MT - 10</v>
      </c>
    </row>
    <row r="53" spans="1:8" ht="17.25" customHeight="1">
      <c r="A53" s="275" t="s">
        <v>669</v>
      </c>
      <c r="B53" s="276"/>
      <c r="C53" s="288" t="s">
        <v>143</v>
      </c>
      <c r="D53" s="288"/>
      <c r="E53" s="166">
        <v>3.66</v>
      </c>
      <c r="F53" s="1">
        <v>3.352</v>
      </c>
      <c r="H53" s="93" t="str">
        <f t="shared" si="1"/>
        <v>Damaged Distribution Transformer's HT/LT Aluminium coils scrap with insulation, Lying at TRY Ropar. Quantity in MT - 3.66</v>
      </c>
    </row>
    <row r="54" spans="1:8" ht="17.25" customHeight="1">
      <c r="A54" s="275" t="s">
        <v>670</v>
      </c>
      <c r="B54" s="276"/>
      <c r="C54" s="277" t="s">
        <v>36</v>
      </c>
      <c r="D54" s="277"/>
      <c r="E54" s="73">
        <v>6.98</v>
      </c>
      <c r="H54" s="93" t="str">
        <f t="shared" si="1"/>
        <v>Damaged Distribution Transformer's HT/LT Aluminium coils scrap with insulation, Lying at TRY Bathinda. Quantity in MT - 6.98</v>
      </c>
    </row>
    <row r="55" spans="1:8" ht="17.25" customHeight="1">
      <c r="A55" s="275" t="s">
        <v>672</v>
      </c>
      <c r="B55" s="276"/>
      <c r="C55" s="277" t="s">
        <v>120</v>
      </c>
      <c r="D55" s="277"/>
      <c r="E55" s="73">
        <v>6.677</v>
      </c>
      <c r="H55" s="93" t="str">
        <f t="shared" si="1"/>
        <v>Damaged Distribution Transformer's HT/LT Aluminium coils scrap with insulation, Lying at TRY Patiala. Quantity in MT - 6.677</v>
      </c>
    </row>
    <row r="56" spans="1:8" ht="17.25" customHeight="1">
      <c r="A56" s="275" t="s">
        <v>688</v>
      </c>
      <c r="B56" s="276"/>
      <c r="C56" s="283" t="s">
        <v>135</v>
      </c>
      <c r="D56" s="283"/>
      <c r="E56" s="73">
        <v>8.99</v>
      </c>
      <c r="H56" s="93" t="str">
        <f t="shared" si="1"/>
        <v>Damaged Distribution Transformer's HT/LT Aluminium coils scrap with insulation, Lying at TRY Sangrur. Quantity in MT - 8.99</v>
      </c>
    </row>
    <row r="57" spans="1:8" ht="17.25" customHeight="1">
      <c r="A57" s="275" t="s">
        <v>689</v>
      </c>
      <c r="B57" s="276"/>
      <c r="C57" s="283" t="s">
        <v>135</v>
      </c>
      <c r="D57" s="283"/>
      <c r="E57" s="73">
        <v>10</v>
      </c>
      <c r="H57" s="93" t="str">
        <f t="shared" si="1"/>
        <v>Damaged Distribution Transformer's HT/LT Aluminium coils scrap with insulation, Lying at TRY Sangrur. Quantity in MT - 10</v>
      </c>
    </row>
    <row r="58" spans="1:8" ht="17.25" customHeight="1">
      <c r="A58" s="275" t="s">
        <v>690</v>
      </c>
      <c r="B58" s="276"/>
      <c r="C58" s="283" t="s">
        <v>132</v>
      </c>
      <c r="D58" s="283"/>
      <c r="E58" s="73">
        <v>7.16</v>
      </c>
      <c r="H58" s="93" t="str">
        <f t="shared" si="1"/>
        <v>Damaged Distribution Transformer's HT/LT Aluminium coils scrap with insulation, Lying at TRY Bhagta Bhai Ka. Quantity in MT - 7.16</v>
      </c>
    </row>
    <row r="59" spans="1:8" ht="17.25" customHeight="1" thickBot="1">
      <c r="A59" s="275" t="s">
        <v>691</v>
      </c>
      <c r="B59" s="276"/>
      <c r="C59" s="283" t="s">
        <v>132</v>
      </c>
      <c r="D59" s="283"/>
      <c r="E59" s="73">
        <v>10</v>
      </c>
      <c r="H59" s="93" t="str">
        <f t="shared" si="1"/>
        <v>Damaged Distribution Transformer's HT/LT Aluminium coils scrap with insulation, Lying at TRY Bhagta Bhai Ka. Quantity in MT - 10</v>
      </c>
    </row>
    <row r="60" spans="1:5" ht="17.25" customHeight="1" thickBot="1">
      <c r="A60" s="327" t="s">
        <v>113</v>
      </c>
      <c r="B60" s="328"/>
      <c r="C60" s="314"/>
      <c r="D60" s="315"/>
      <c r="E60" s="124">
        <f>SUM(E38:E59)</f>
        <v>214.83499999999998</v>
      </c>
    </row>
    <row r="61" spans="1:8" ht="17.25" customHeight="1">
      <c r="A61" s="331"/>
      <c r="B61" s="331"/>
      <c r="C61" s="331"/>
      <c r="D61" s="331"/>
      <c r="E61" s="332"/>
      <c r="H61" s="111"/>
    </row>
    <row r="62" spans="1:5" ht="17.25" customHeight="1">
      <c r="A62" s="312" t="s">
        <v>107</v>
      </c>
      <c r="B62" s="312"/>
      <c r="C62" s="312"/>
      <c r="D62" s="312"/>
      <c r="E62" s="313"/>
    </row>
    <row r="63" spans="1:5" ht="17.25" customHeight="1">
      <c r="A63" s="321" t="s">
        <v>685</v>
      </c>
      <c r="B63" s="322"/>
      <c r="C63" s="322"/>
      <c r="D63" s="322"/>
      <c r="E63" s="322"/>
    </row>
    <row r="64" spans="1:5" ht="17.25" customHeight="1">
      <c r="A64" s="89"/>
      <c r="B64" s="90"/>
      <c r="C64" s="90"/>
      <c r="D64" s="90"/>
      <c r="E64" s="90"/>
    </row>
    <row r="65" spans="1:8" ht="29.25" customHeight="1">
      <c r="A65" s="275" t="s">
        <v>243</v>
      </c>
      <c r="B65" s="283"/>
      <c r="C65" s="283"/>
      <c r="D65" s="283"/>
      <c r="E65" s="276"/>
      <c r="F65" s="1">
        <f>B80+B94+B106+B120+B135+B148+B156+B170+B183+B203+B216+B230+B250+B272+B285+B299+B312+B331+B351+B375+B397+B410+B424+B444+B458+B475+B488+B504+B525+B539+B562+B580</f>
        <v>2218</v>
      </c>
      <c r="H65" s="99">
        <f>B80+B94+B106+B120+B135+B148+B156+B170+B183+B203+B216+B230+B250+B272+B285+B299+B312+B331+B351+B375+B397+B410+B424+B444+B458+B475+B488+B504+B525+B539+B562+B580</f>
        <v>2218</v>
      </c>
    </row>
    <row r="66" spans="1:5" ht="24.75" customHeight="1">
      <c r="A66" s="40" t="s">
        <v>212</v>
      </c>
      <c r="B66" s="40" t="s">
        <v>213</v>
      </c>
      <c r="C66" s="40" t="s">
        <v>214</v>
      </c>
      <c r="D66" s="40" t="s">
        <v>215</v>
      </c>
      <c r="E66" s="39" t="s">
        <v>216</v>
      </c>
    </row>
    <row r="67" spans="1:6" ht="17.25" customHeight="1">
      <c r="A67" s="285" t="s">
        <v>217</v>
      </c>
      <c r="B67" s="286"/>
      <c r="C67" s="287"/>
      <c r="D67" s="230"/>
      <c r="E67" s="234"/>
      <c r="F67" s="1">
        <f>B68+B69+B70+B71+B72+B74+B75+B76+B77+B78</f>
        <v>249</v>
      </c>
    </row>
    <row r="68" spans="1:5" ht="17.25" customHeight="1">
      <c r="A68" s="112">
        <v>90</v>
      </c>
      <c r="B68" s="113">
        <v>27</v>
      </c>
      <c r="C68" s="113" t="s">
        <v>218</v>
      </c>
      <c r="D68" s="112" t="s">
        <v>219</v>
      </c>
      <c r="E68" s="113">
        <v>1301</v>
      </c>
    </row>
    <row r="69" spans="1:5" ht="17.25" customHeight="1">
      <c r="A69" s="112">
        <v>91</v>
      </c>
      <c r="B69" s="113">
        <v>25</v>
      </c>
      <c r="C69" s="113" t="s">
        <v>218</v>
      </c>
      <c r="D69" s="112" t="s">
        <v>220</v>
      </c>
      <c r="E69" s="113">
        <v>1214</v>
      </c>
    </row>
    <row r="70" spans="1:5" ht="17.25" customHeight="1">
      <c r="A70" s="112">
        <v>92</v>
      </c>
      <c r="B70" s="113">
        <v>14</v>
      </c>
      <c r="C70" s="113" t="s">
        <v>218</v>
      </c>
      <c r="D70" s="112" t="s">
        <v>221</v>
      </c>
      <c r="E70" s="113">
        <v>678</v>
      </c>
    </row>
    <row r="71" spans="1:5" ht="17.25" customHeight="1">
      <c r="A71" s="112">
        <v>93</v>
      </c>
      <c r="B71" s="113">
        <v>25</v>
      </c>
      <c r="C71" s="113" t="s">
        <v>218</v>
      </c>
      <c r="D71" s="112" t="s">
        <v>226</v>
      </c>
      <c r="E71" s="113">
        <v>1201</v>
      </c>
    </row>
    <row r="72" spans="1:5" ht="17.25" customHeight="1">
      <c r="A72" s="112">
        <v>94</v>
      </c>
      <c r="B72" s="113">
        <v>18</v>
      </c>
      <c r="C72" s="113" t="s">
        <v>218</v>
      </c>
      <c r="D72" s="112" t="s">
        <v>227</v>
      </c>
      <c r="E72" s="113">
        <v>835</v>
      </c>
    </row>
    <row r="73" spans="1:5" ht="72.75" customHeight="1">
      <c r="A73" s="112">
        <v>95</v>
      </c>
      <c r="B73" s="113">
        <v>20</v>
      </c>
      <c r="C73" s="125" t="s">
        <v>241</v>
      </c>
      <c r="D73" s="118" t="s">
        <v>258</v>
      </c>
      <c r="E73" s="117">
        <v>4276</v>
      </c>
    </row>
    <row r="74" spans="1:5" ht="17.25" customHeight="1">
      <c r="A74" s="112">
        <v>96</v>
      </c>
      <c r="B74" s="113">
        <v>27</v>
      </c>
      <c r="C74" s="114" t="s">
        <v>218</v>
      </c>
      <c r="D74" s="112" t="s">
        <v>259</v>
      </c>
      <c r="E74" s="117">
        <v>1303</v>
      </c>
    </row>
    <row r="75" spans="1:5" ht="17.25" customHeight="1">
      <c r="A75" s="112">
        <v>97</v>
      </c>
      <c r="B75" s="113">
        <v>26</v>
      </c>
      <c r="C75" s="114" t="s">
        <v>218</v>
      </c>
      <c r="D75" s="112" t="s">
        <v>260</v>
      </c>
      <c r="E75" s="117">
        <v>1209</v>
      </c>
    </row>
    <row r="76" spans="1:5" ht="17.25" customHeight="1">
      <c r="A76" s="112">
        <v>98</v>
      </c>
      <c r="B76" s="113">
        <v>27</v>
      </c>
      <c r="C76" s="114" t="s">
        <v>225</v>
      </c>
      <c r="D76" s="118" t="s">
        <v>259</v>
      </c>
      <c r="E76" s="113">
        <v>1286</v>
      </c>
    </row>
    <row r="77" spans="1:5" ht="17.25" customHeight="1">
      <c r="A77" s="112">
        <v>99</v>
      </c>
      <c r="B77" s="113">
        <v>30</v>
      </c>
      <c r="C77" s="114" t="s">
        <v>225</v>
      </c>
      <c r="D77" s="118" t="s">
        <v>261</v>
      </c>
      <c r="E77" s="113">
        <v>1365</v>
      </c>
    </row>
    <row r="78" spans="1:5" ht="17.25" customHeight="1">
      <c r="A78" s="112">
        <v>100</v>
      </c>
      <c r="B78" s="113">
        <v>30</v>
      </c>
      <c r="C78" s="114" t="s">
        <v>225</v>
      </c>
      <c r="D78" s="118" t="s">
        <v>261</v>
      </c>
      <c r="E78" s="113">
        <v>1374</v>
      </c>
    </row>
    <row r="79" spans="1:5" ht="17.25" customHeight="1">
      <c r="A79" s="233"/>
      <c r="B79" s="126">
        <f>SUM(B68:B78)</f>
        <v>269</v>
      </c>
      <c r="C79" s="126"/>
      <c r="D79" s="126"/>
      <c r="E79" s="126">
        <f>SUM(E68:E78)</f>
        <v>16042</v>
      </c>
    </row>
    <row r="80" spans="1:5" ht="17.25" customHeight="1">
      <c r="A80" s="230" t="s">
        <v>14</v>
      </c>
      <c r="B80" s="126">
        <f>B79</f>
        <v>269</v>
      </c>
      <c r="C80" s="126"/>
      <c r="D80" s="126"/>
      <c r="E80" s="126">
        <f>E79</f>
        <v>16042</v>
      </c>
    </row>
    <row r="81" spans="1:5" ht="17.25" customHeight="1">
      <c r="A81" s="234"/>
      <c r="B81" s="127"/>
      <c r="C81" s="127"/>
      <c r="D81" s="127"/>
      <c r="E81" s="127"/>
    </row>
    <row r="82" spans="1:5" ht="27.75" customHeight="1">
      <c r="A82" s="275" t="s">
        <v>295</v>
      </c>
      <c r="B82" s="283"/>
      <c r="C82" s="283"/>
      <c r="D82" s="283"/>
      <c r="E82" s="283"/>
    </row>
    <row r="83" spans="1:5" ht="24.75" customHeight="1">
      <c r="A83" s="40" t="s">
        <v>212</v>
      </c>
      <c r="B83" s="40" t="s">
        <v>213</v>
      </c>
      <c r="C83" s="40" t="s">
        <v>214</v>
      </c>
      <c r="D83" s="40" t="s">
        <v>215</v>
      </c>
      <c r="E83" s="39" t="s">
        <v>216</v>
      </c>
    </row>
    <row r="84" spans="1:5" ht="17.25" customHeight="1">
      <c r="A84" s="285" t="s">
        <v>223</v>
      </c>
      <c r="B84" s="286"/>
      <c r="C84" s="287"/>
      <c r="D84" s="40"/>
      <c r="E84" s="39"/>
    </row>
    <row r="85" spans="1:5" ht="17.25" customHeight="1">
      <c r="A85" s="110" t="s">
        <v>281</v>
      </c>
      <c r="B85" s="105">
        <v>7</v>
      </c>
      <c r="C85" s="105" t="s">
        <v>228</v>
      </c>
      <c r="D85" s="105" t="s">
        <v>282</v>
      </c>
      <c r="E85" s="105">
        <v>780</v>
      </c>
    </row>
    <row r="86" spans="1:5" ht="17.25" customHeight="1">
      <c r="A86" s="233"/>
      <c r="B86" s="88">
        <f>SUM(B85:B85)</f>
        <v>7</v>
      </c>
      <c r="C86" s="88"/>
      <c r="D86" s="88"/>
      <c r="E86" s="88">
        <f>SUM(E85:E85)</f>
        <v>780</v>
      </c>
    </row>
    <row r="87" spans="1:5" ht="17.25" customHeight="1">
      <c r="A87" s="285" t="s">
        <v>217</v>
      </c>
      <c r="B87" s="286"/>
      <c r="C87" s="287"/>
      <c r="D87" s="34"/>
      <c r="E87" s="34"/>
    </row>
    <row r="88" spans="1:5" ht="17.25" customHeight="1">
      <c r="A88" s="110" t="s">
        <v>283</v>
      </c>
      <c r="B88" s="105">
        <v>4</v>
      </c>
      <c r="C88" s="109" t="s">
        <v>232</v>
      </c>
      <c r="D88" s="105" t="s">
        <v>284</v>
      </c>
      <c r="E88" s="105">
        <v>466</v>
      </c>
    </row>
    <row r="89" spans="1:5" ht="17.25" customHeight="1">
      <c r="A89" s="110" t="s">
        <v>283</v>
      </c>
      <c r="B89" s="105">
        <v>1</v>
      </c>
      <c r="C89" s="109" t="s">
        <v>241</v>
      </c>
      <c r="D89" s="105" t="s">
        <v>262</v>
      </c>
      <c r="E89" s="105">
        <v>220</v>
      </c>
    </row>
    <row r="90" spans="1:5" ht="17.25" customHeight="1">
      <c r="A90" s="110" t="s">
        <v>283</v>
      </c>
      <c r="B90" s="105">
        <v>1</v>
      </c>
      <c r="C90" s="109" t="s">
        <v>245</v>
      </c>
      <c r="D90" s="105" t="s">
        <v>285</v>
      </c>
      <c r="E90" s="105">
        <v>295</v>
      </c>
    </row>
    <row r="91" spans="1:5" ht="17.25" customHeight="1">
      <c r="A91" s="110" t="s">
        <v>286</v>
      </c>
      <c r="B91" s="105">
        <v>1</v>
      </c>
      <c r="C91" s="105" t="s">
        <v>228</v>
      </c>
      <c r="D91" s="40" t="s">
        <v>246</v>
      </c>
      <c r="E91" s="105">
        <v>87</v>
      </c>
    </row>
    <row r="92" spans="1:5" ht="17.25" customHeight="1">
      <c r="A92" s="110" t="s">
        <v>287</v>
      </c>
      <c r="B92" s="105">
        <v>1</v>
      </c>
      <c r="C92" s="109" t="s">
        <v>232</v>
      </c>
      <c r="D92" s="40" t="s">
        <v>246</v>
      </c>
      <c r="E92" s="105">
        <v>115</v>
      </c>
    </row>
    <row r="93" spans="1:5" ht="17.25" customHeight="1">
      <c r="A93" s="40"/>
      <c r="B93" s="230">
        <f>SUM(B88:B92)</f>
        <v>8</v>
      </c>
      <c r="C93" s="230"/>
      <c r="D93" s="230"/>
      <c r="E93" s="230">
        <f>SUM(E88:E92)</f>
        <v>1183</v>
      </c>
    </row>
    <row r="94" spans="1:5" ht="17.25" customHeight="1">
      <c r="A94" s="230" t="s">
        <v>14</v>
      </c>
      <c r="B94" s="126">
        <f>B86+B93</f>
        <v>15</v>
      </c>
      <c r="C94" s="126"/>
      <c r="D94" s="126"/>
      <c r="E94" s="126">
        <f>E86+E93</f>
        <v>1963</v>
      </c>
    </row>
    <row r="95" spans="1:5" ht="17.25" customHeight="1">
      <c r="A95" s="234"/>
      <c r="B95" s="127"/>
      <c r="C95" s="128"/>
      <c r="D95" s="126"/>
      <c r="E95" s="126"/>
    </row>
    <row r="96" spans="1:5" ht="33.75" customHeight="1">
      <c r="A96" s="275" t="s">
        <v>418</v>
      </c>
      <c r="B96" s="283"/>
      <c r="C96" s="283"/>
      <c r="D96" s="283"/>
      <c r="E96" s="283"/>
    </row>
    <row r="97" spans="1:5" ht="23.25" customHeight="1">
      <c r="A97" s="40">
        <v>44</v>
      </c>
      <c r="B97" s="40" t="s">
        <v>213</v>
      </c>
      <c r="C97" s="40" t="s">
        <v>214</v>
      </c>
      <c r="D97" s="40" t="s">
        <v>215</v>
      </c>
      <c r="E97" s="39" t="s">
        <v>216</v>
      </c>
    </row>
    <row r="98" spans="1:5" ht="17.25" customHeight="1">
      <c r="A98" s="285" t="s">
        <v>223</v>
      </c>
      <c r="B98" s="286"/>
      <c r="C98" s="287"/>
      <c r="D98" s="40"/>
      <c r="E98" s="39"/>
    </row>
    <row r="99" spans="1:5" ht="17.25" customHeight="1">
      <c r="A99" s="45">
        <v>756</v>
      </c>
      <c r="B99" s="45">
        <v>3</v>
      </c>
      <c r="C99" s="45" t="s">
        <v>225</v>
      </c>
      <c r="D99" s="45" t="s">
        <v>290</v>
      </c>
      <c r="E99" s="45">
        <v>226</v>
      </c>
    </row>
    <row r="100" spans="1:5" ht="17.25" customHeight="1">
      <c r="A100" s="45">
        <v>757</v>
      </c>
      <c r="B100" s="45">
        <v>10</v>
      </c>
      <c r="C100" s="45" t="s">
        <v>228</v>
      </c>
      <c r="D100" s="45" t="s">
        <v>291</v>
      </c>
      <c r="E100" s="45">
        <v>1056</v>
      </c>
    </row>
    <row r="101" spans="1:5" ht="17.25" customHeight="1">
      <c r="A101" s="233"/>
      <c r="B101" s="88">
        <f>SUM(B99:B100)</f>
        <v>13</v>
      </c>
      <c r="C101" s="88"/>
      <c r="D101" s="88"/>
      <c r="E101" s="88">
        <f>SUM(E99:E100)</f>
        <v>1282</v>
      </c>
    </row>
    <row r="102" spans="1:5" ht="17.25" customHeight="1">
      <c r="A102" s="285" t="s">
        <v>217</v>
      </c>
      <c r="B102" s="286"/>
      <c r="C102" s="287"/>
      <c r="D102" s="34"/>
      <c r="E102" s="34"/>
    </row>
    <row r="103" spans="1:5" ht="17.25" customHeight="1">
      <c r="A103" s="45">
        <v>758</v>
      </c>
      <c r="B103" s="45">
        <v>8</v>
      </c>
      <c r="C103" s="45" t="s">
        <v>225</v>
      </c>
      <c r="D103" s="45" t="s">
        <v>292</v>
      </c>
      <c r="E103" s="45">
        <v>586</v>
      </c>
    </row>
    <row r="104" spans="1:5" ht="17.25" customHeight="1">
      <c r="A104" s="45">
        <v>759</v>
      </c>
      <c r="B104" s="45">
        <v>1</v>
      </c>
      <c r="C104" s="45" t="s">
        <v>228</v>
      </c>
      <c r="D104" s="45" t="s">
        <v>238</v>
      </c>
      <c r="E104" s="45">
        <v>82</v>
      </c>
    </row>
    <row r="105" spans="1:5" ht="17.25" customHeight="1">
      <c r="A105" s="40"/>
      <c r="B105" s="230">
        <f>SUM(B103:B104)</f>
        <v>9</v>
      </c>
      <c r="C105" s="230"/>
      <c r="D105" s="230"/>
      <c r="E105" s="230">
        <f>SUM(E103:E104)</f>
        <v>668</v>
      </c>
    </row>
    <row r="106" spans="1:5" ht="17.25" customHeight="1">
      <c r="A106" s="230" t="s">
        <v>14</v>
      </c>
      <c r="B106" s="126">
        <f>B101+B105</f>
        <v>22</v>
      </c>
      <c r="C106" s="126"/>
      <c r="D106" s="126"/>
      <c r="E106" s="126">
        <f>E101+E105</f>
        <v>1950</v>
      </c>
    </row>
    <row r="107" spans="1:5" ht="17.25" customHeight="1">
      <c r="A107" s="234"/>
      <c r="B107" s="127"/>
      <c r="C107" s="128"/>
      <c r="D107" s="126"/>
      <c r="E107" s="126"/>
    </row>
    <row r="108" spans="1:5" ht="31.5" customHeight="1">
      <c r="A108" s="275" t="s">
        <v>419</v>
      </c>
      <c r="B108" s="283"/>
      <c r="C108" s="283"/>
      <c r="D108" s="283"/>
      <c r="E108" s="283"/>
    </row>
    <row r="109" spans="1:5" ht="24.75" customHeight="1">
      <c r="A109" s="40" t="s">
        <v>212</v>
      </c>
      <c r="B109" s="40" t="s">
        <v>213</v>
      </c>
      <c r="C109" s="40" t="s">
        <v>214</v>
      </c>
      <c r="D109" s="40" t="s">
        <v>215</v>
      </c>
      <c r="E109" s="39" t="s">
        <v>216</v>
      </c>
    </row>
    <row r="110" spans="1:5" ht="17.25" customHeight="1">
      <c r="A110" s="285" t="s">
        <v>223</v>
      </c>
      <c r="B110" s="286"/>
      <c r="C110" s="287"/>
      <c r="D110" s="40"/>
      <c r="E110" s="39"/>
    </row>
    <row r="111" spans="1:5" ht="17.25" customHeight="1">
      <c r="A111" s="40">
        <v>996</v>
      </c>
      <c r="B111" s="40">
        <v>3</v>
      </c>
      <c r="C111" s="40" t="s">
        <v>218</v>
      </c>
      <c r="D111" s="40" t="s">
        <v>296</v>
      </c>
      <c r="E111" s="106">
        <v>216</v>
      </c>
    </row>
    <row r="112" spans="1:5" ht="17.25" customHeight="1">
      <c r="A112" s="40">
        <v>997</v>
      </c>
      <c r="B112" s="40">
        <v>3</v>
      </c>
      <c r="C112" s="40" t="s">
        <v>237</v>
      </c>
      <c r="D112" s="40" t="s">
        <v>297</v>
      </c>
      <c r="E112" s="106">
        <v>304</v>
      </c>
    </row>
    <row r="113" spans="1:5" ht="17.25" customHeight="1">
      <c r="A113" s="233"/>
      <c r="B113" s="88">
        <f>SUM(B111:B112)</f>
        <v>6</v>
      </c>
      <c r="C113" s="88"/>
      <c r="D113" s="88"/>
      <c r="E113" s="88">
        <f>SUM(E111:E112)</f>
        <v>520</v>
      </c>
    </row>
    <row r="114" spans="1:5" ht="17.25" customHeight="1">
      <c r="A114" s="285" t="s">
        <v>217</v>
      </c>
      <c r="B114" s="286"/>
      <c r="C114" s="287"/>
      <c r="D114" s="34"/>
      <c r="E114" s="34"/>
    </row>
    <row r="115" spans="1:5" ht="17.25" customHeight="1">
      <c r="A115" s="70">
        <v>998</v>
      </c>
      <c r="B115" s="91">
        <v>3</v>
      </c>
      <c r="C115" s="70" t="s">
        <v>236</v>
      </c>
      <c r="D115" s="40" t="s">
        <v>240</v>
      </c>
      <c r="E115" s="107">
        <v>137</v>
      </c>
    </row>
    <row r="116" spans="1:5" ht="17.25" customHeight="1">
      <c r="A116" s="70">
        <v>999</v>
      </c>
      <c r="B116" s="91">
        <v>14</v>
      </c>
      <c r="C116" s="70" t="s">
        <v>218</v>
      </c>
      <c r="D116" s="40" t="s">
        <v>298</v>
      </c>
      <c r="E116" s="107">
        <v>1255</v>
      </c>
    </row>
    <row r="117" spans="1:5" ht="17.25" customHeight="1">
      <c r="A117" s="70">
        <v>1000</v>
      </c>
      <c r="B117" s="91">
        <v>7</v>
      </c>
      <c r="C117" s="70" t="s">
        <v>218</v>
      </c>
      <c r="D117" s="40" t="s">
        <v>299</v>
      </c>
      <c r="E117" s="107">
        <v>613</v>
      </c>
    </row>
    <row r="118" spans="1:5" ht="17.25" customHeight="1">
      <c r="A118" s="70">
        <v>1001</v>
      </c>
      <c r="B118" s="91">
        <v>1</v>
      </c>
      <c r="C118" s="70" t="s">
        <v>237</v>
      </c>
      <c r="D118" s="40" t="s">
        <v>239</v>
      </c>
      <c r="E118" s="107">
        <v>101</v>
      </c>
    </row>
    <row r="119" spans="1:5" ht="17.25" customHeight="1">
      <c r="A119" s="40"/>
      <c r="B119" s="230">
        <f>SUM(B115:B118)</f>
        <v>25</v>
      </c>
      <c r="C119" s="230"/>
      <c r="D119" s="230"/>
      <c r="E119" s="230">
        <f>SUM(E115:E118)</f>
        <v>2106</v>
      </c>
    </row>
    <row r="120" spans="1:5" ht="17.25" customHeight="1">
      <c r="A120" s="230" t="s">
        <v>14</v>
      </c>
      <c r="B120" s="126">
        <f>B113+B119</f>
        <v>31</v>
      </c>
      <c r="C120" s="126"/>
      <c r="D120" s="126"/>
      <c r="E120" s="126">
        <f>E113+E119</f>
        <v>2626</v>
      </c>
    </row>
    <row r="121" spans="1:5" ht="17.25" customHeight="1">
      <c r="A121" s="234"/>
      <c r="B121" s="127"/>
      <c r="C121" s="128"/>
      <c r="D121" s="126"/>
      <c r="E121" s="126"/>
    </row>
    <row r="122" spans="1:7" ht="28.5" customHeight="1">
      <c r="A122" s="275" t="s">
        <v>420</v>
      </c>
      <c r="B122" s="283"/>
      <c r="C122" s="283"/>
      <c r="D122" s="283"/>
      <c r="E122" s="283"/>
      <c r="F122" s="132"/>
      <c r="G122" s="132"/>
    </row>
    <row r="123" spans="1:7" ht="26.25" customHeight="1">
      <c r="A123" s="40" t="s">
        <v>212</v>
      </c>
      <c r="B123" s="40" t="s">
        <v>213</v>
      </c>
      <c r="C123" s="40" t="s">
        <v>214</v>
      </c>
      <c r="D123" s="40" t="s">
        <v>215</v>
      </c>
      <c r="E123" s="39" t="s">
        <v>216</v>
      </c>
      <c r="F123" s="132"/>
      <c r="G123" s="132"/>
    </row>
    <row r="124" spans="1:7" ht="17.25" customHeight="1">
      <c r="A124" s="285" t="s">
        <v>223</v>
      </c>
      <c r="B124" s="286"/>
      <c r="C124" s="287"/>
      <c r="D124" s="40"/>
      <c r="E124" s="39"/>
      <c r="F124" s="132"/>
      <c r="G124" s="132"/>
    </row>
    <row r="125" spans="1:7" ht="17.25" customHeight="1">
      <c r="A125" s="45">
        <v>724</v>
      </c>
      <c r="B125" s="105">
        <v>1</v>
      </c>
      <c r="C125" s="105" t="s">
        <v>224</v>
      </c>
      <c r="D125" s="105" t="s">
        <v>301</v>
      </c>
      <c r="E125" s="105">
        <v>50</v>
      </c>
      <c r="F125" s="132"/>
      <c r="G125" s="132"/>
    </row>
    <row r="126" spans="1:7" ht="17.25" customHeight="1">
      <c r="A126" s="45">
        <v>725</v>
      </c>
      <c r="B126" s="105">
        <v>6</v>
      </c>
      <c r="C126" s="105" t="s">
        <v>225</v>
      </c>
      <c r="D126" s="105" t="s">
        <v>302</v>
      </c>
      <c r="E126" s="105">
        <v>446</v>
      </c>
      <c r="F126" s="132"/>
      <c r="G126" s="132"/>
    </row>
    <row r="127" spans="1:7" ht="17.25" customHeight="1">
      <c r="A127" s="45">
        <v>726</v>
      </c>
      <c r="B127" s="105">
        <v>21</v>
      </c>
      <c r="C127" s="105" t="s">
        <v>228</v>
      </c>
      <c r="D127" s="134" t="s">
        <v>307</v>
      </c>
      <c r="E127" s="105">
        <v>2233</v>
      </c>
      <c r="F127" s="132"/>
      <c r="G127" s="132"/>
    </row>
    <row r="128" spans="1:7" ht="17.25" customHeight="1">
      <c r="A128" s="230"/>
      <c r="B128" s="230">
        <f>SUM(B125:B127)</f>
        <v>28</v>
      </c>
      <c r="C128" s="230"/>
      <c r="D128" s="230"/>
      <c r="E128" s="230">
        <f>SUM(E125:E127)</f>
        <v>2729</v>
      </c>
      <c r="F128" s="132"/>
      <c r="G128" s="132"/>
    </row>
    <row r="129" spans="1:7" ht="17.25" customHeight="1">
      <c r="A129" s="285" t="s">
        <v>217</v>
      </c>
      <c r="B129" s="286"/>
      <c r="C129" s="287"/>
      <c r="D129" s="230"/>
      <c r="E129" s="234"/>
      <c r="F129" s="132"/>
      <c r="G129" s="132"/>
    </row>
    <row r="130" spans="1:7" ht="17.25" customHeight="1">
      <c r="A130" s="45">
        <v>730</v>
      </c>
      <c r="B130" s="105">
        <v>1</v>
      </c>
      <c r="C130" s="109" t="s">
        <v>245</v>
      </c>
      <c r="D130" s="105" t="s">
        <v>303</v>
      </c>
      <c r="E130" s="105">
        <v>265</v>
      </c>
      <c r="F130" s="132"/>
      <c r="G130" s="132"/>
    </row>
    <row r="131" spans="1:7" ht="17.25" customHeight="1">
      <c r="A131" s="45">
        <v>727</v>
      </c>
      <c r="B131" s="105">
        <v>10</v>
      </c>
      <c r="C131" s="105" t="s">
        <v>225</v>
      </c>
      <c r="D131" s="105" t="s">
        <v>304</v>
      </c>
      <c r="E131" s="105">
        <v>750</v>
      </c>
      <c r="F131" s="132"/>
      <c r="G131" s="132"/>
    </row>
    <row r="132" spans="1:7" ht="17.25" customHeight="1">
      <c r="A132" s="45">
        <v>728</v>
      </c>
      <c r="B132" s="105">
        <v>5</v>
      </c>
      <c r="C132" s="105" t="s">
        <v>228</v>
      </c>
      <c r="D132" s="105" t="s">
        <v>305</v>
      </c>
      <c r="E132" s="105">
        <v>403</v>
      </c>
      <c r="F132" s="132"/>
      <c r="G132" s="132"/>
    </row>
    <row r="133" spans="1:7" ht="17.25" customHeight="1">
      <c r="A133" s="45">
        <v>729</v>
      </c>
      <c r="B133" s="105">
        <v>2</v>
      </c>
      <c r="C133" s="109" t="s">
        <v>232</v>
      </c>
      <c r="D133" s="105" t="s">
        <v>306</v>
      </c>
      <c r="E133" s="105">
        <v>207</v>
      </c>
      <c r="F133" s="132"/>
      <c r="G133" s="132"/>
    </row>
    <row r="134" spans="1:7" ht="17.25" customHeight="1">
      <c r="A134" s="40"/>
      <c r="B134" s="230">
        <f>SUM(B130:B133)</f>
        <v>18</v>
      </c>
      <c r="C134" s="230"/>
      <c r="D134" s="230"/>
      <c r="E134" s="230">
        <f>SUM(E130:E133)</f>
        <v>1625</v>
      </c>
      <c r="F134" s="132"/>
      <c r="G134" s="132"/>
    </row>
    <row r="135" spans="1:7" ht="17.25" customHeight="1">
      <c r="A135" s="230" t="s">
        <v>14</v>
      </c>
      <c r="B135" s="126">
        <f>B128+B134</f>
        <v>46</v>
      </c>
      <c r="C135" s="126"/>
      <c r="D135" s="126"/>
      <c r="E135" s="126">
        <f>E128+E134</f>
        <v>4354</v>
      </c>
      <c r="F135" s="132"/>
      <c r="G135" s="132"/>
    </row>
    <row r="136" spans="1:7" ht="17.25" customHeight="1">
      <c r="A136" s="234"/>
      <c r="B136" s="127"/>
      <c r="C136" s="128"/>
      <c r="D136" s="126"/>
      <c r="E136" s="126"/>
      <c r="F136" s="132"/>
      <c r="G136" s="132"/>
    </row>
    <row r="137" spans="1:7" ht="27.75" customHeight="1">
      <c r="A137" s="275" t="s">
        <v>421</v>
      </c>
      <c r="B137" s="283"/>
      <c r="C137" s="283"/>
      <c r="D137" s="283"/>
      <c r="E137" s="283"/>
      <c r="F137" s="132"/>
      <c r="G137" s="132"/>
    </row>
    <row r="138" spans="1:7" ht="21.75" customHeight="1">
      <c r="A138" s="40" t="s">
        <v>212</v>
      </c>
      <c r="B138" s="40" t="s">
        <v>213</v>
      </c>
      <c r="C138" s="40" t="s">
        <v>214</v>
      </c>
      <c r="D138" s="40" t="s">
        <v>215</v>
      </c>
      <c r="E138" s="39" t="s">
        <v>216</v>
      </c>
      <c r="F138" s="132"/>
      <c r="G138" s="132"/>
    </row>
    <row r="139" spans="1:7" ht="17.25" customHeight="1">
      <c r="A139" s="285" t="s">
        <v>223</v>
      </c>
      <c r="B139" s="286"/>
      <c r="C139" s="287"/>
      <c r="D139" s="40"/>
      <c r="E139" s="39"/>
      <c r="F139" s="132"/>
      <c r="G139" s="132"/>
    </row>
    <row r="140" spans="1:7" ht="17.25" customHeight="1">
      <c r="A140" s="45">
        <v>431</v>
      </c>
      <c r="B140" s="45">
        <v>6</v>
      </c>
      <c r="C140" s="45" t="s">
        <v>228</v>
      </c>
      <c r="D140" s="45" t="s">
        <v>308</v>
      </c>
      <c r="E140" s="45">
        <v>696</v>
      </c>
      <c r="F140" s="132"/>
      <c r="G140" s="132"/>
    </row>
    <row r="141" spans="1:7" ht="17.25" customHeight="1">
      <c r="A141" s="45">
        <v>431</v>
      </c>
      <c r="B141" s="45">
        <v>2</v>
      </c>
      <c r="C141" s="45" t="s">
        <v>225</v>
      </c>
      <c r="D141" s="45" t="s">
        <v>309</v>
      </c>
      <c r="E141" s="45">
        <v>174</v>
      </c>
      <c r="F141" s="132"/>
      <c r="G141" s="132"/>
    </row>
    <row r="142" spans="1:7" ht="17.25" customHeight="1">
      <c r="A142" s="230"/>
      <c r="B142" s="230">
        <f>SUM(B140:B141)</f>
        <v>8</v>
      </c>
      <c r="C142" s="230"/>
      <c r="D142" s="230"/>
      <c r="E142" s="230">
        <f>SUM(E140:E141)</f>
        <v>870</v>
      </c>
      <c r="F142" s="132"/>
      <c r="G142" s="132"/>
    </row>
    <row r="143" spans="1:7" ht="17.25" customHeight="1">
      <c r="A143" s="285" t="s">
        <v>217</v>
      </c>
      <c r="B143" s="286"/>
      <c r="C143" s="287"/>
      <c r="D143" s="230"/>
      <c r="E143" s="234"/>
      <c r="F143" s="132"/>
      <c r="G143" s="132"/>
    </row>
    <row r="144" spans="1:7" ht="17.25" customHeight="1">
      <c r="A144" s="45">
        <v>433</v>
      </c>
      <c r="B144" s="45">
        <v>2</v>
      </c>
      <c r="C144" s="109" t="s">
        <v>232</v>
      </c>
      <c r="D144" s="45" t="s">
        <v>310</v>
      </c>
      <c r="E144" s="45">
        <v>250</v>
      </c>
      <c r="F144" s="132"/>
      <c r="G144" s="132"/>
    </row>
    <row r="145" spans="1:7" ht="17.25" customHeight="1">
      <c r="A145" s="45">
        <v>432</v>
      </c>
      <c r="B145" s="45">
        <v>1</v>
      </c>
      <c r="C145" s="45" t="s">
        <v>228</v>
      </c>
      <c r="D145" s="45" t="s">
        <v>239</v>
      </c>
      <c r="E145" s="45">
        <v>90</v>
      </c>
      <c r="F145" s="132"/>
      <c r="G145" s="132"/>
    </row>
    <row r="146" spans="1:7" ht="17.25" customHeight="1">
      <c r="A146" s="45">
        <v>432</v>
      </c>
      <c r="B146" s="45">
        <v>1</v>
      </c>
      <c r="C146" s="109" t="s">
        <v>232</v>
      </c>
      <c r="D146" s="45" t="s">
        <v>239</v>
      </c>
      <c r="E146" s="45">
        <v>125</v>
      </c>
      <c r="F146" s="132"/>
      <c r="G146" s="132"/>
    </row>
    <row r="147" spans="1:7" ht="17.25" customHeight="1">
      <c r="A147" s="40"/>
      <c r="B147" s="230">
        <f>SUM(B144:B146)</f>
        <v>4</v>
      </c>
      <c r="C147" s="230"/>
      <c r="D147" s="230"/>
      <c r="E147" s="230">
        <f>SUM(E144:E146)</f>
        <v>465</v>
      </c>
      <c r="F147" s="132"/>
      <c r="G147" s="132"/>
    </row>
    <row r="148" spans="1:7" ht="17.25" customHeight="1">
      <c r="A148" s="230" t="s">
        <v>14</v>
      </c>
      <c r="B148" s="126">
        <f>B142+B147</f>
        <v>12</v>
      </c>
      <c r="C148" s="126"/>
      <c r="D148" s="126"/>
      <c r="E148" s="126">
        <f>E142+E147</f>
        <v>1335</v>
      </c>
      <c r="F148" s="132"/>
      <c r="G148" s="132"/>
    </row>
    <row r="149" spans="1:7" ht="17.25" customHeight="1">
      <c r="A149" s="234"/>
      <c r="B149" s="127"/>
      <c r="C149" s="128"/>
      <c r="D149" s="126"/>
      <c r="E149" s="126"/>
      <c r="F149" s="132"/>
      <c r="G149" s="132"/>
    </row>
    <row r="150" spans="1:7" ht="27" customHeight="1">
      <c r="A150" s="275" t="s">
        <v>422</v>
      </c>
      <c r="B150" s="283"/>
      <c r="C150" s="283"/>
      <c r="D150" s="283"/>
      <c r="E150" s="283"/>
      <c r="F150" s="132"/>
      <c r="G150" s="132"/>
    </row>
    <row r="151" spans="1:7" ht="23.25" customHeight="1">
      <c r="A151" s="40" t="s">
        <v>212</v>
      </c>
      <c r="B151" s="40" t="s">
        <v>213</v>
      </c>
      <c r="C151" s="40" t="s">
        <v>214</v>
      </c>
      <c r="D151" s="40" t="s">
        <v>215</v>
      </c>
      <c r="E151" s="39" t="s">
        <v>216</v>
      </c>
      <c r="F151" s="132"/>
      <c r="G151" s="132"/>
    </row>
    <row r="152" spans="1:7" ht="17.25" customHeight="1">
      <c r="A152" s="285" t="s">
        <v>217</v>
      </c>
      <c r="B152" s="286"/>
      <c r="C152" s="287"/>
      <c r="D152" s="230"/>
      <c r="E152" s="234"/>
      <c r="F152" s="132"/>
      <c r="G152" s="132"/>
    </row>
    <row r="153" spans="1:7" ht="17.25" customHeight="1">
      <c r="A153" s="112">
        <v>109</v>
      </c>
      <c r="B153" s="113">
        <v>25</v>
      </c>
      <c r="C153" s="113" t="s">
        <v>218</v>
      </c>
      <c r="D153" s="40" t="s">
        <v>311</v>
      </c>
      <c r="E153" s="140">
        <v>1149</v>
      </c>
      <c r="F153" s="132"/>
      <c r="G153" s="132"/>
    </row>
    <row r="154" spans="1:7" ht="17.25" customHeight="1">
      <c r="A154" s="113">
        <v>110</v>
      </c>
      <c r="B154" s="113">
        <v>29</v>
      </c>
      <c r="C154" s="113" t="s">
        <v>218</v>
      </c>
      <c r="D154" s="40" t="s">
        <v>312</v>
      </c>
      <c r="E154" s="140">
        <v>1347</v>
      </c>
      <c r="F154" s="132"/>
      <c r="G154" s="132"/>
    </row>
    <row r="155" spans="1:7" ht="17.25" customHeight="1">
      <c r="A155" s="40"/>
      <c r="B155" s="230">
        <f>SUM(B153:B154)</f>
        <v>54</v>
      </c>
      <c r="C155" s="230"/>
      <c r="D155" s="230"/>
      <c r="E155" s="234">
        <f>SUM(E153:E154)</f>
        <v>2496</v>
      </c>
      <c r="F155" s="132"/>
      <c r="G155" s="132"/>
    </row>
    <row r="156" spans="1:7" ht="17.25" customHeight="1">
      <c r="A156" s="230" t="s">
        <v>14</v>
      </c>
      <c r="B156" s="126">
        <f>B155</f>
        <v>54</v>
      </c>
      <c r="C156" s="126"/>
      <c r="D156" s="126"/>
      <c r="E156" s="126">
        <f>E155</f>
        <v>2496</v>
      </c>
      <c r="F156" s="132"/>
      <c r="G156" s="132"/>
    </row>
    <row r="157" spans="1:7" ht="17.25" customHeight="1">
      <c r="A157" s="234"/>
      <c r="B157" s="127"/>
      <c r="C157" s="128"/>
      <c r="D157" s="126"/>
      <c r="E157" s="126"/>
      <c r="F157" s="132"/>
      <c r="G157" s="132"/>
    </row>
    <row r="158" spans="1:7" ht="27.75" customHeight="1">
      <c r="A158" s="275" t="s">
        <v>423</v>
      </c>
      <c r="B158" s="283"/>
      <c r="C158" s="283"/>
      <c r="D158" s="283"/>
      <c r="E158" s="283"/>
      <c r="F158" s="132"/>
      <c r="G158" s="132"/>
    </row>
    <row r="159" spans="1:7" ht="24.75" customHeight="1">
      <c r="A159" s="40" t="s">
        <v>212</v>
      </c>
      <c r="B159" s="40" t="s">
        <v>213</v>
      </c>
      <c r="C159" s="40" t="s">
        <v>214</v>
      </c>
      <c r="D159" s="40" t="s">
        <v>215</v>
      </c>
      <c r="E159" s="39" t="s">
        <v>216</v>
      </c>
      <c r="F159" s="132"/>
      <c r="G159" s="132"/>
    </row>
    <row r="160" spans="1:7" ht="17.25" customHeight="1">
      <c r="A160" s="285" t="s">
        <v>223</v>
      </c>
      <c r="B160" s="286"/>
      <c r="C160" s="287"/>
      <c r="D160" s="40"/>
      <c r="E160" s="39"/>
      <c r="F160" s="132"/>
      <c r="G160" s="132"/>
    </row>
    <row r="161" spans="1:7" ht="17.25" customHeight="1">
      <c r="A161" s="91">
        <v>1288</v>
      </c>
      <c r="B161" s="91">
        <v>2</v>
      </c>
      <c r="C161" s="91" t="s">
        <v>224</v>
      </c>
      <c r="D161" s="70" t="s">
        <v>313</v>
      </c>
      <c r="E161" s="91">
        <v>110</v>
      </c>
      <c r="F161" s="132"/>
      <c r="G161" s="132"/>
    </row>
    <row r="162" spans="1:7" ht="17.25" customHeight="1">
      <c r="A162" s="70">
        <v>1289</v>
      </c>
      <c r="B162" s="91">
        <v>8</v>
      </c>
      <c r="C162" s="91" t="s">
        <v>218</v>
      </c>
      <c r="D162" s="70" t="s">
        <v>314</v>
      </c>
      <c r="E162" s="70">
        <v>624</v>
      </c>
      <c r="F162" s="132"/>
      <c r="G162" s="132"/>
    </row>
    <row r="163" spans="1:7" ht="17.25" customHeight="1">
      <c r="A163" s="70">
        <v>1290</v>
      </c>
      <c r="B163" s="40">
        <v>4</v>
      </c>
      <c r="C163" s="40" t="s">
        <v>228</v>
      </c>
      <c r="D163" s="40" t="s">
        <v>315</v>
      </c>
      <c r="E163" s="40">
        <v>440</v>
      </c>
      <c r="F163" s="132"/>
      <c r="G163" s="132"/>
    </row>
    <row r="164" spans="1:7" ht="17.25" customHeight="1">
      <c r="A164" s="230"/>
      <c r="B164" s="230">
        <f>SUM(B161:B163)</f>
        <v>14</v>
      </c>
      <c r="C164" s="230"/>
      <c r="D164" s="230"/>
      <c r="E164" s="230">
        <f>SUM(E161:E163)</f>
        <v>1174</v>
      </c>
      <c r="F164" s="132"/>
      <c r="G164" s="132"/>
    </row>
    <row r="165" spans="1:7" ht="17.25" customHeight="1">
      <c r="A165" s="285" t="s">
        <v>217</v>
      </c>
      <c r="B165" s="286"/>
      <c r="C165" s="287"/>
      <c r="D165" s="230"/>
      <c r="E165" s="234"/>
      <c r="F165" s="132"/>
      <c r="G165" s="132"/>
    </row>
    <row r="166" spans="1:7" ht="17.25" customHeight="1">
      <c r="A166" s="139">
        <v>1292</v>
      </c>
      <c r="B166" s="60">
        <v>3</v>
      </c>
      <c r="C166" s="232" t="s">
        <v>241</v>
      </c>
      <c r="D166" s="40" t="s">
        <v>316</v>
      </c>
      <c r="E166" s="60">
        <v>636</v>
      </c>
      <c r="F166" s="132"/>
      <c r="G166" s="132"/>
    </row>
    <row r="167" spans="1:7" ht="17.25" customHeight="1">
      <c r="A167" s="137">
        <v>1293</v>
      </c>
      <c r="B167" s="91">
        <v>3</v>
      </c>
      <c r="C167" s="232" t="s">
        <v>245</v>
      </c>
      <c r="D167" s="40" t="s">
        <v>317</v>
      </c>
      <c r="E167" s="70">
        <v>830</v>
      </c>
      <c r="F167" s="132"/>
      <c r="G167" s="132"/>
    </row>
    <row r="168" spans="1:7" ht="17.25" customHeight="1">
      <c r="A168" s="139">
        <v>1291</v>
      </c>
      <c r="B168" s="60">
        <v>25</v>
      </c>
      <c r="C168" s="40" t="s">
        <v>218</v>
      </c>
      <c r="D168" s="40" t="s">
        <v>311</v>
      </c>
      <c r="E168" s="60">
        <v>1426</v>
      </c>
      <c r="F168" s="132"/>
      <c r="G168" s="132"/>
    </row>
    <row r="169" spans="1:7" ht="17.25" customHeight="1">
      <c r="A169" s="40"/>
      <c r="B169" s="230">
        <f>SUM(B166:B168)</f>
        <v>31</v>
      </c>
      <c r="C169" s="230"/>
      <c r="D169" s="230"/>
      <c r="E169" s="234">
        <f>SUM(E166:E168)</f>
        <v>2892</v>
      </c>
      <c r="F169" s="132"/>
      <c r="G169" s="132"/>
    </row>
    <row r="170" spans="1:7" ht="17.25" customHeight="1">
      <c r="A170" s="230" t="s">
        <v>14</v>
      </c>
      <c r="B170" s="126">
        <f>B164+B169</f>
        <v>45</v>
      </c>
      <c r="C170" s="126"/>
      <c r="D170" s="126"/>
      <c r="E170" s="126">
        <f>E164+E169</f>
        <v>4066</v>
      </c>
      <c r="F170" s="132"/>
      <c r="G170" s="132"/>
    </row>
    <row r="171" spans="1:7" ht="17.25" customHeight="1">
      <c r="A171" s="234"/>
      <c r="B171" s="127"/>
      <c r="C171" s="128"/>
      <c r="D171" s="126"/>
      <c r="E171" s="126"/>
      <c r="F171" s="132"/>
      <c r="G171" s="132"/>
    </row>
    <row r="172" spans="1:7" ht="27" customHeight="1">
      <c r="A172" s="275" t="s">
        <v>424</v>
      </c>
      <c r="B172" s="283"/>
      <c r="C172" s="283"/>
      <c r="D172" s="283"/>
      <c r="E172" s="283"/>
      <c r="F172" s="132"/>
      <c r="G172" s="132"/>
    </row>
    <row r="173" spans="1:7" ht="27" customHeight="1">
      <c r="A173" s="40" t="s">
        <v>212</v>
      </c>
      <c r="B173" s="40" t="s">
        <v>213</v>
      </c>
      <c r="C173" s="40" t="s">
        <v>214</v>
      </c>
      <c r="D173" s="40" t="s">
        <v>215</v>
      </c>
      <c r="E173" s="39" t="s">
        <v>216</v>
      </c>
      <c r="F173" s="132"/>
      <c r="G173" s="132"/>
    </row>
    <row r="174" spans="1:7" ht="17.25" customHeight="1">
      <c r="A174" s="285" t="s">
        <v>223</v>
      </c>
      <c r="B174" s="286"/>
      <c r="C174" s="287"/>
      <c r="D174" s="40"/>
      <c r="E174" s="39"/>
      <c r="F174" s="132"/>
      <c r="G174" s="132"/>
    </row>
    <row r="175" spans="1:7" ht="17.25" customHeight="1">
      <c r="A175" s="40">
        <v>1123</v>
      </c>
      <c r="B175" s="60">
        <v>4</v>
      </c>
      <c r="C175" s="60" t="s">
        <v>228</v>
      </c>
      <c r="D175" s="40" t="s">
        <v>332</v>
      </c>
      <c r="E175" s="40">
        <v>448</v>
      </c>
      <c r="F175" s="132"/>
      <c r="G175" s="132"/>
    </row>
    <row r="176" spans="1:7" ht="17.25" customHeight="1">
      <c r="A176" s="40">
        <v>1124</v>
      </c>
      <c r="B176" s="60">
        <v>2</v>
      </c>
      <c r="C176" s="60" t="s">
        <v>225</v>
      </c>
      <c r="D176" s="40" t="s">
        <v>333</v>
      </c>
      <c r="E176" s="40">
        <v>166</v>
      </c>
      <c r="F176" s="132"/>
      <c r="G176" s="132"/>
    </row>
    <row r="177" spans="1:7" ht="17.25" customHeight="1">
      <c r="A177" s="40"/>
      <c r="B177" s="230">
        <f>SUM(B175:B176)</f>
        <v>6</v>
      </c>
      <c r="C177" s="230"/>
      <c r="D177" s="230"/>
      <c r="E177" s="230">
        <f>SUM(E175:E176)</f>
        <v>614</v>
      </c>
      <c r="F177" s="132"/>
      <c r="G177" s="132"/>
    </row>
    <row r="178" spans="1:7" ht="17.25" customHeight="1">
      <c r="A178" s="285" t="s">
        <v>217</v>
      </c>
      <c r="B178" s="286"/>
      <c r="C178" s="287"/>
      <c r="D178" s="40"/>
      <c r="E178" s="39"/>
      <c r="F178" s="132"/>
      <c r="G178" s="132"/>
    </row>
    <row r="179" spans="1:7" ht="17.25" customHeight="1">
      <c r="A179" s="70">
        <v>1120</v>
      </c>
      <c r="B179" s="91">
        <v>19</v>
      </c>
      <c r="C179" s="91" t="s">
        <v>228</v>
      </c>
      <c r="D179" s="40" t="s">
        <v>334</v>
      </c>
      <c r="E179" s="70">
        <v>1957</v>
      </c>
      <c r="F179" s="132"/>
      <c r="G179" s="132"/>
    </row>
    <row r="180" spans="1:7" ht="17.25" customHeight="1">
      <c r="A180" s="40">
        <v>1121</v>
      </c>
      <c r="B180" s="40">
        <v>20</v>
      </c>
      <c r="C180" s="91" t="s">
        <v>225</v>
      </c>
      <c r="D180" s="64" t="s">
        <v>335</v>
      </c>
      <c r="E180" s="40">
        <v>1860</v>
      </c>
      <c r="F180" s="132"/>
      <c r="G180" s="132"/>
    </row>
    <row r="181" spans="1:7" ht="17.25" customHeight="1">
      <c r="A181" s="40">
        <v>1122</v>
      </c>
      <c r="B181" s="40">
        <v>12</v>
      </c>
      <c r="C181" s="91" t="s">
        <v>225</v>
      </c>
      <c r="D181" s="64" t="s">
        <v>336</v>
      </c>
      <c r="E181" s="40">
        <v>1134</v>
      </c>
      <c r="F181" s="132"/>
      <c r="G181" s="132"/>
    </row>
    <row r="182" spans="1:7" ht="17.25" customHeight="1">
      <c r="A182" s="40"/>
      <c r="B182" s="230">
        <f>SUM(B179:B181)</f>
        <v>51</v>
      </c>
      <c r="C182" s="230"/>
      <c r="D182" s="230"/>
      <c r="E182" s="234">
        <f>SUM(E179:E181)</f>
        <v>4951</v>
      </c>
      <c r="F182" s="132"/>
      <c r="G182" s="132"/>
    </row>
    <row r="183" spans="1:7" ht="17.25" customHeight="1">
      <c r="A183" s="230" t="s">
        <v>14</v>
      </c>
      <c r="B183" s="126">
        <f>B177+B182</f>
        <v>57</v>
      </c>
      <c r="C183" s="126"/>
      <c r="D183" s="126"/>
      <c r="E183" s="126">
        <f>E177+E182</f>
        <v>5565</v>
      </c>
      <c r="F183" s="132"/>
      <c r="G183" s="132"/>
    </row>
    <row r="184" spans="1:7" ht="17.25" customHeight="1">
      <c r="A184" s="234"/>
      <c r="B184" s="127"/>
      <c r="C184" s="128"/>
      <c r="D184" s="126"/>
      <c r="E184" s="126"/>
      <c r="F184" s="132"/>
      <c r="G184" s="132"/>
    </row>
    <row r="185" spans="1:7" ht="30" customHeight="1">
      <c r="A185" s="275" t="s">
        <v>300</v>
      </c>
      <c r="B185" s="283"/>
      <c r="C185" s="283"/>
      <c r="D185" s="283"/>
      <c r="E185" s="283"/>
      <c r="F185" s="132"/>
      <c r="G185" s="132"/>
    </row>
    <row r="186" spans="1:7" ht="26.25" customHeight="1">
      <c r="A186" s="40" t="s">
        <v>212</v>
      </c>
      <c r="B186" s="40" t="s">
        <v>213</v>
      </c>
      <c r="C186" s="40" t="s">
        <v>214</v>
      </c>
      <c r="D186" s="40" t="s">
        <v>215</v>
      </c>
      <c r="E186" s="39" t="s">
        <v>216</v>
      </c>
      <c r="F186" s="132"/>
      <c r="G186" s="132"/>
    </row>
    <row r="187" spans="1:7" ht="17.25" customHeight="1">
      <c r="A187" s="285" t="s">
        <v>223</v>
      </c>
      <c r="B187" s="286"/>
      <c r="C187" s="287"/>
      <c r="D187" s="40"/>
      <c r="E187" s="39"/>
      <c r="F187" s="132"/>
      <c r="G187" s="132"/>
    </row>
    <row r="188" spans="1:7" ht="28.5" customHeight="1">
      <c r="A188" s="273" t="s">
        <v>339</v>
      </c>
      <c r="B188" s="273">
        <v>20</v>
      </c>
      <c r="C188" s="273" t="s">
        <v>224</v>
      </c>
      <c r="D188" s="23" t="s">
        <v>340</v>
      </c>
      <c r="E188" s="273">
        <v>1167.1</v>
      </c>
      <c r="F188" s="132"/>
      <c r="G188" s="132"/>
    </row>
    <row r="189" spans="1:7" ht="26.25" customHeight="1">
      <c r="A189" s="273" t="s">
        <v>341</v>
      </c>
      <c r="B189" s="273">
        <v>18</v>
      </c>
      <c r="C189" s="273" t="s">
        <v>218</v>
      </c>
      <c r="D189" s="23" t="s">
        <v>342</v>
      </c>
      <c r="E189" s="273">
        <v>1439.55</v>
      </c>
      <c r="F189" s="132"/>
      <c r="G189" s="132"/>
    </row>
    <row r="190" spans="1:7" ht="24" customHeight="1">
      <c r="A190" s="273" t="s">
        <v>343</v>
      </c>
      <c r="B190" s="273">
        <v>7</v>
      </c>
      <c r="C190" s="273" t="s">
        <v>228</v>
      </c>
      <c r="D190" s="23" t="s">
        <v>344</v>
      </c>
      <c r="E190" s="273">
        <v>735</v>
      </c>
      <c r="F190" s="132"/>
      <c r="G190" s="132"/>
    </row>
    <row r="191" spans="1:7" ht="24" customHeight="1">
      <c r="A191" s="273" t="s">
        <v>345</v>
      </c>
      <c r="B191" s="273">
        <v>10</v>
      </c>
      <c r="C191" s="273" t="s">
        <v>224</v>
      </c>
      <c r="D191" s="23" t="s">
        <v>346</v>
      </c>
      <c r="E191" s="273">
        <v>579.7</v>
      </c>
      <c r="F191" s="132"/>
      <c r="G191" s="132"/>
    </row>
    <row r="192" spans="1:7" ht="17.25" customHeight="1">
      <c r="A192" s="40"/>
      <c r="B192" s="230">
        <f>SUM(B188:B191)</f>
        <v>55</v>
      </c>
      <c r="C192" s="230"/>
      <c r="D192" s="230"/>
      <c r="E192" s="230">
        <f>SUM(E188:E191)</f>
        <v>3921.3499999999995</v>
      </c>
      <c r="F192" s="132"/>
      <c r="G192" s="132"/>
    </row>
    <row r="193" spans="1:7" ht="17.25" customHeight="1">
      <c r="A193" s="285" t="s">
        <v>217</v>
      </c>
      <c r="B193" s="286"/>
      <c r="C193" s="287"/>
      <c r="D193" s="40"/>
      <c r="E193" s="39"/>
      <c r="F193" s="132"/>
      <c r="G193" s="132"/>
    </row>
    <row r="194" spans="1:8" ht="17.25" customHeight="1">
      <c r="A194" s="60" t="s">
        <v>347</v>
      </c>
      <c r="B194" s="60">
        <v>18</v>
      </c>
      <c r="C194" s="40" t="s">
        <v>224</v>
      </c>
      <c r="D194" s="40" t="s">
        <v>348</v>
      </c>
      <c r="E194" s="60">
        <v>1075</v>
      </c>
      <c r="F194" s="132"/>
      <c r="G194" s="132"/>
      <c r="H194" s="99">
        <f>B194+B201</f>
        <v>26</v>
      </c>
    </row>
    <row r="195" spans="1:8" ht="17.25" customHeight="1">
      <c r="A195" s="60" t="s">
        <v>349</v>
      </c>
      <c r="B195" s="60">
        <v>8</v>
      </c>
      <c r="C195" s="232" t="s">
        <v>350</v>
      </c>
      <c r="D195" s="40" t="s">
        <v>351</v>
      </c>
      <c r="E195" s="40">
        <v>1046.4</v>
      </c>
      <c r="F195" s="132"/>
      <c r="G195" s="132"/>
      <c r="H195" s="99">
        <f>B198+B200</f>
        <v>26</v>
      </c>
    </row>
    <row r="196" spans="1:8" ht="17.25" customHeight="1">
      <c r="A196" s="60" t="s">
        <v>352</v>
      </c>
      <c r="B196" s="60">
        <v>3</v>
      </c>
      <c r="C196" s="232" t="s">
        <v>245</v>
      </c>
      <c r="D196" s="40" t="s">
        <v>353</v>
      </c>
      <c r="E196" s="60">
        <v>790</v>
      </c>
      <c r="F196" s="132"/>
      <c r="G196" s="132"/>
      <c r="H196" s="99">
        <f>B199</f>
        <v>1</v>
      </c>
    </row>
    <row r="197" spans="1:7" ht="17.25" customHeight="1">
      <c r="A197" s="60" t="s">
        <v>354</v>
      </c>
      <c r="B197" s="60">
        <v>2</v>
      </c>
      <c r="C197" s="232" t="s">
        <v>232</v>
      </c>
      <c r="D197" s="40" t="s">
        <v>355</v>
      </c>
      <c r="E197" s="60">
        <v>185</v>
      </c>
      <c r="F197" s="132"/>
      <c r="G197" s="132"/>
    </row>
    <row r="198" spans="1:7" ht="17.25" customHeight="1">
      <c r="A198" s="60" t="s">
        <v>356</v>
      </c>
      <c r="B198" s="60">
        <v>20</v>
      </c>
      <c r="C198" s="40" t="s">
        <v>218</v>
      </c>
      <c r="D198" s="40" t="s">
        <v>357</v>
      </c>
      <c r="E198" s="60">
        <v>1218</v>
      </c>
      <c r="F198" s="132"/>
      <c r="G198" s="132"/>
    </row>
    <row r="199" spans="1:7" ht="17.25" customHeight="1">
      <c r="A199" s="60" t="s">
        <v>358</v>
      </c>
      <c r="B199" s="60">
        <v>1</v>
      </c>
      <c r="C199" s="40" t="s">
        <v>237</v>
      </c>
      <c r="D199" s="40" t="s">
        <v>359</v>
      </c>
      <c r="E199" s="60">
        <v>75</v>
      </c>
      <c r="F199" s="132"/>
      <c r="G199" s="132"/>
    </row>
    <row r="200" spans="1:7" ht="17.25" customHeight="1">
      <c r="A200" s="60" t="s">
        <v>360</v>
      </c>
      <c r="B200" s="60">
        <v>6</v>
      </c>
      <c r="C200" s="40" t="s">
        <v>365</v>
      </c>
      <c r="D200" s="40" t="s">
        <v>361</v>
      </c>
      <c r="E200" s="60">
        <v>366</v>
      </c>
      <c r="F200" s="132"/>
      <c r="G200" s="132"/>
    </row>
    <row r="201" spans="1:7" ht="17.25" customHeight="1">
      <c r="A201" s="60" t="s">
        <v>362</v>
      </c>
      <c r="B201" s="60">
        <v>8</v>
      </c>
      <c r="C201" s="40" t="s">
        <v>363</v>
      </c>
      <c r="D201" s="40" t="s">
        <v>364</v>
      </c>
      <c r="E201" s="60">
        <v>345</v>
      </c>
      <c r="F201" s="132"/>
      <c r="G201" s="132"/>
    </row>
    <row r="202" spans="1:7" ht="17.25" customHeight="1">
      <c r="A202" s="40"/>
      <c r="B202" s="230">
        <f>SUM(B194:B201)</f>
        <v>66</v>
      </c>
      <c r="C202" s="230"/>
      <c r="D202" s="230"/>
      <c r="E202" s="234">
        <f>SUM(E194:E201)</f>
        <v>5100.4</v>
      </c>
      <c r="F202" s="132"/>
      <c r="G202" s="132"/>
    </row>
    <row r="203" spans="1:7" ht="17.25" customHeight="1">
      <c r="A203" s="230" t="s">
        <v>14</v>
      </c>
      <c r="B203" s="126">
        <f>B192+B202</f>
        <v>121</v>
      </c>
      <c r="C203" s="126"/>
      <c r="D203" s="126"/>
      <c r="E203" s="126">
        <f>E192+E202</f>
        <v>9021.75</v>
      </c>
      <c r="F203" s="132"/>
      <c r="G203" s="132"/>
    </row>
    <row r="204" spans="1:7" ht="17.25" customHeight="1">
      <c r="A204" s="234"/>
      <c r="B204" s="127"/>
      <c r="C204" s="128"/>
      <c r="D204" s="126"/>
      <c r="E204" s="126"/>
      <c r="F204" s="132"/>
      <c r="G204" s="132"/>
    </row>
    <row r="205" spans="1:7" ht="28.5" customHeight="1">
      <c r="A205" s="275" t="s">
        <v>425</v>
      </c>
      <c r="B205" s="283"/>
      <c r="C205" s="283"/>
      <c r="D205" s="283"/>
      <c r="E205" s="283"/>
      <c r="F205" s="132"/>
      <c r="G205" s="132"/>
    </row>
    <row r="206" spans="1:7" ht="24.75" customHeight="1">
      <c r="A206" s="40" t="s">
        <v>212</v>
      </c>
      <c r="B206" s="40" t="s">
        <v>213</v>
      </c>
      <c r="C206" s="40" t="s">
        <v>214</v>
      </c>
      <c r="D206" s="40" t="s">
        <v>215</v>
      </c>
      <c r="E206" s="39" t="s">
        <v>216</v>
      </c>
      <c r="F206" s="132"/>
      <c r="G206" s="132"/>
    </row>
    <row r="207" spans="1:7" ht="17.25" customHeight="1">
      <c r="A207" s="285" t="s">
        <v>223</v>
      </c>
      <c r="B207" s="286"/>
      <c r="C207" s="287"/>
      <c r="D207" s="40"/>
      <c r="E207" s="39"/>
      <c r="F207" s="132"/>
      <c r="G207" s="132"/>
    </row>
    <row r="208" spans="1:7" ht="17.25" customHeight="1">
      <c r="A208" s="70">
        <v>760</v>
      </c>
      <c r="B208" s="40">
        <v>1</v>
      </c>
      <c r="C208" s="40" t="s">
        <v>225</v>
      </c>
      <c r="D208" s="40" t="s">
        <v>366</v>
      </c>
      <c r="E208" s="40">
        <v>70</v>
      </c>
      <c r="F208" s="132"/>
      <c r="G208" s="132"/>
    </row>
    <row r="209" spans="1:7" ht="17.25" customHeight="1">
      <c r="A209" s="40">
        <v>761</v>
      </c>
      <c r="B209" s="40">
        <v>5</v>
      </c>
      <c r="C209" s="40" t="s">
        <v>228</v>
      </c>
      <c r="D209" s="40" t="s">
        <v>367</v>
      </c>
      <c r="E209" s="40">
        <v>519</v>
      </c>
      <c r="F209" s="132"/>
      <c r="G209" s="132"/>
    </row>
    <row r="210" spans="1:7" ht="17.25" customHeight="1">
      <c r="A210" s="40"/>
      <c r="B210" s="230">
        <f>SUM(B208:B209)</f>
        <v>6</v>
      </c>
      <c r="C210" s="230"/>
      <c r="D210" s="230"/>
      <c r="E210" s="230">
        <f>SUM(E208:E209)</f>
        <v>589</v>
      </c>
      <c r="F210" s="132"/>
      <c r="G210" s="132"/>
    </row>
    <row r="211" spans="1:7" ht="17.25" customHeight="1">
      <c r="A211" s="285" t="s">
        <v>217</v>
      </c>
      <c r="B211" s="286"/>
      <c r="C211" s="287"/>
      <c r="D211" s="40"/>
      <c r="E211" s="39"/>
      <c r="F211" s="132"/>
      <c r="G211" s="132"/>
    </row>
    <row r="212" spans="1:7" ht="27" customHeight="1">
      <c r="A212" s="40">
        <v>764</v>
      </c>
      <c r="B212" s="60">
        <v>20</v>
      </c>
      <c r="C212" s="133" t="s">
        <v>350</v>
      </c>
      <c r="D212" s="40" t="s">
        <v>369</v>
      </c>
      <c r="E212" s="40">
        <v>2158</v>
      </c>
      <c r="F212" s="132"/>
      <c r="G212" s="132"/>
    </row>
    <row r="213" spans="1:7" ht="17.25" customHeight="1">
      <c r="A213" s="45">
        <v>762</v>
      </c>
      <c r="B213" s="45">
        <v>8</v>
      </c>
      <c r="C213" s="45" t="s">
        <v>218</v>
      </c>
      <c r="D213" s="40" t="s">
        <v>364</v>
      </c>
      <c r="E213" s="45">
        <v>583</v>
      </c>
      <c r="F213" s="132"/>
      <c r="G213" s="132"/>
    </row>
    <row r="214" spans="1:7" ht="17.25" customHeight="1">
      <c r="A214" s="45">
        <v>763</v>
      </c>
      <c r="B214" s="45">
        <v>2</v>
      </c>
      <c r="C214" s="45" t="s">
        <v>237</v>
      </c>
      <c r="D214" s="40" t="s">
        <v>368</v>
      </c>
      <c r="E214" s="45">
        <v>162</v>
      </c>
      <c r="F214" s="132"/>
      <c r="G214" s="132"/>
    </row>
    <row r="215" spans="1:7" ht="17.25" customHeight="1">
      <c r="A215" s="40"/>
      <c r="B215" s="230">
        <f>SUM(B212:B214)</f>
        <v>30</v>
      </c>
      <c r="C215" s="230"/>
      <c r="D215" s="230"/>
      <c r="E215" s="234">
        <f>SUM(E212:E214)</f>
        <v>2903</v>
      </c>
      <c r="F215" s="132"/>
      <c r="G215" s="132"/>
    </row>
    <row r="216" spans="1:7" ht="17.25" customHeight="1">
      <c r="A216" s="230" t="s">
        <v>14</v>
      </c>
      <c r="B216" s="126">
        <f>B210+B215</f>
        <v>36</v>
      </c>
      <c r="C216" s="126"/>
      <c r="D216" s="126"/>
      <c r="E216" s="126">
        <f>E210+E215</f>
        <v>3492</v>
      </c>
      <c r="F216" s="132"/>
      <c r="G216" s="132"/>
    </row>
    <row r="217" spans="1:7" ht="17.25" customHeight="1">
      <c r="A217" s="234"/>
      <c r="B217" s="127"/>
      <c r="C217" s="128"/>
      <c r="D217" s="126"/>
      <c r="E217" s="126"/>
      <c r="F217" s="132"/>
      <c r="G217" s="132"/>
    </row>
    <row r="218" spans="1:7" ht="26.25" customHeight="1">
      <c r="A218" s="275" t="s">
        <v>426</v>
      </c>
      <c r="B218" s="283"/>
      <c r="C218" s="283"/>
      <c r="D218" s="283"/>
      <c r="E218" s="283"/>
      <c r="F218" s="132"/>
      <c r="G218" s="132"/>
    </row>
    <row r="219" spans="1:7" ht="26.25" customHeight="1">
      <c r="A219" s="40" t="s">
        <v>212</v>
      </c>
      <c r="B219" s="40" t="s">
        <v>213</v>
      </c>
      <c r="C219" s="40" t="s">
        <v>214</v>
      </c>
      <c r="D219" s="40" t="s">
        <v>215</v>
      </c>
      <c r="E219" s="39" t="s">
        <v>216</v>
      </c>
      <c r="F219" s="132"/>
      <c r="G219" s="132"/>
    </row>
    <row r="220" spans="1:7" ht="17.25" customHeight="1">
      <c r="A220" s="285" t="s">
        <v>223</v>
      </c>
      <c r="B220" s="286"/>
      <c r="C220" s="287"/>
      <c r="D220" s="40"/>
      <c r="E220" s="39"/>
      <c r="F220" s="132"/>
      <c r="G220" s="132"/>
    </row>
    <row r="221" spans="1:7" ht="17.25" customHeight="1">
      <c r="A221" s="60">
        <v>434</v>
      </c>
      <c r="B221" s="60">
        <v>5</v>
      </c>
      <c r="C221" s="60" t="s">
        <v>228</v>
      </c>
      <c r="D221" s="91" t="s">
        <v>370</v>
      </c>
      <c r="E221" s="60">
        <v>540</v>
      </c>
      <c r="F221" s="132"/>
      <c r="G221" s="132"/>
    </row>
    <row r="222" spans="1:7" ht="17.25" customHeight="1">
      <c r="A222" s="60">
        <v>434</v>
      </c>
      <c r="B222" s="60">
        <v>1</v>
      </c>
      <c r="C222" s="60" t="s">
        <v>225</v>
      </c>
      <c r="D222" s="45" t="s">
        <v>371</v>
      </c>
      <c r="E222" s="60">
        <v>85</v>
      </c>
      <c r="F222" s="132"/>
      <c r="G222" s="132"/>
    </row>
    <row r="223" spans="1:7" ht="17.25" customHeight="1">
      <c r="A223" s="40"/>
      <c r="B223" s="230">
        <f>SUM(B221:B222)</f>
        <v>6</v>
      </c>
      <c r="C223" s="230"/>
      <c r="D223" s="230"/>
      <c r="E223" s="230">
        <f>SUM(E221:E222)</f>
        <v>625</v>
      </c>
      <c r="F223" s="132"/>
      <c r="G223" s="132"/>
    </row>
    <row r="224" spans="1:7" ht="17.25" customHeight="1">
      <c r="A224" s="285" t="s">
        <v>217</v>
      </c>
      <c r="B224" s="286"/>
      <c r="C224" s="287"/>
      <c r="D224" s="40"/>
      <c r="E224" s="39"/>
      <c r="F224" s="132"/>
      <c r="G224" s="132"/>
    </row>
    <row r="225" spans="1:7" ht="17.25" customHeight="1">
      <c r="A225" s="40">
        <v>436</v>
      </c>
      <c r="B225" s="203">
        <v>1</v>
      </c>
      <c r="C225" s="232" t="s">
        <v>232</v>
      </c>
      <c r="D225" s="203" t="s">
        <v>372</v>
      </c>
      <c r="E225" s="203">
        <v>124</v>
      </c>
      <c r="F225" s="132"/>
      <c r="G225" s="132"/>
    </row>
    <row r="226" spans="1:7" ht="17.25" customHeight="1">
      <c r="A226" s="60">
        <v>435</v>
      </c>
      <c r="B226" s="244">
        <v>1</v>
      </c>
      <c r="C226" s="244" t="s">
        <v>225</v>
      </c>
      <c r="D226" s="106" t="s">
        <v>359</v>
      </c>
      <c r="E226" s="245">
        <v>60</v>
      </c>
      <c r="F226" s="132"/>
      <c r="G226" s="132"/>
    </row>
    <row r="227" spans="1:7" ht="17.25" customHeight="1">
      <c r="A227" s="40">
        <v>435</v>
      </c>
      <c r="B227" s="203">
        <v>5</v>
      </c>
      <c r="C227" s="203" t="s">
        <v>228</v>
      </c>
      <c r="D227" s="106" t="s">
        <v>374</v>
      </c>
      <c r="E227" s="203">
        <v>450</v>
      </c>
      <c r="F227" s="132"/>
      <c r="G227" s="132"/>
    </row>
    <row r="228" spans="1:7" ht="17.25" customHeight="1">
      <c r="A228" s="40">
        <v>435</v>
      </c>
      <c r="B228" s="203">
        <v>2</v>
      </c>
      <c r="C228" s="232" t="s">
        <v>232</v>
      </c>
      <c r="D228" s="203" t="s">
        <v>373</v>
      </c>
      <c r="E228" s="203">
        <v>225</v>
      </c>
      <c r="F228" s="132"/>
      <c r="G228" s="132"/>
    </row>
    <row r="229" spans="1:7" ht="17.25" customHeight="1">
      <c r="A229" s="40"/>
      <c r="B229" s="230">
        <f>SUM(B225:B228)</f>
        <v>9</v>
      </c>
      <c r="C229" s="230"/>
      <c r="D229" s="230"/>
      <c r="E229" s="234">
        <f>SUM(E225:E228)</f>
        <v>859</v>
      </c>
      <c r="F229" s="132"/>
      <c r="G229" s="132"/>
    </row>
    <row r="230" spans="1:7" ht="17.25" customHeight="1">
      <c r="A230" s="230" t="s">
        <v>14</v>
      </c>
      <c r="B230" s="126">
        <f>B223+B229</f>
        <v>15</v>
      </c>
      <c r="C230" s="126"/>
      <c r="D230" s="126"/>
      <c r="E230" s="126">
        <f>E223+E229</f>
        <v>1484</v>
      </c>
      <c r="F230" s="132"/>
      <c r="G230" s="132"/>
    </row>
    <row r="231" spans="1:7" ht="17.25" customHeight="1">
      <c r="A231" s="234"/>
      <c r="B231" s="127"/>
      <c r="C231" s="128"/>
      <c r="D231" s="126"/>
      <c r="E231" s="126"/>
      <c r="F231" s="132"/>
      <c r="G231" s="132"/>
    </row>
    <row r="232" spans="1:7" ht="27" customHeight="1">
      <c r="A232" s="275" t="s">
        <v>427</v>
      </c>
      <c r="B232" s="283"/>
      <c r="C232" s="283"/>
      <c r="D232" s="283"/>
      <c r="E232" s="283"/>
      <c r="F232" s="132"/>
      <c r="G232" s="132"/>
    </row>
    <row r="233" spans="1:7" ht="23.25" customHeight="1">
      <c r="A233" s="40" t="s">
        <v>212</v>
      </c>
      <c r="B233" s="40" t="s">
        <v>213</v>
      </c>
      <c r="C233" s="40" t="s">
        <v>214</v>
      </c>
      <c r="D233" s="40" t="s">
        <v>215</v>
      </c>
      <c r="E233" s="39" t="s">
        <v>216</v>
      </c>
      <c r="F233" s="132"/>
      <c r="G233" s="132"/>
    </row>
    <row r="234" spans="1:7" ht="17.25" customHeight="1">
      <c r="A234" s="285" t="s">
        <v>223</v>
      </c>
      <c r="B234" s="286"/>
      <c r="C234" s="287"/>
      <c r="D234" s="40"/>
      <c r="E234" s="39"/>
      <c r="F234" s="132"/>
      <c r="G234" s="132"/>
    </row>
    <row r="235" spans="1:7" ht="17.25" customHeight="1">
      <c r="A235" s="40">
        <v>1002</v>
      </c>
      <c r="B235" s="40">
        <v>4</v>
      </c>
      <c r="C235" s="40" t="s">
        <v>237</v>
      </c>
      <c r="D235" s="40" t="s">
        <v>375</v>
      </c>
      <c r="E235" s="40">
        <v>426</v>
      </c>
      <c r="F235" s="132"/>
      <c r="G235" s="132"/>
    </row>
    <row r="236" spans="1:7" ht="17.25" customHeight="1">
      <c r="A236" s="40">
        <v>1006</v>
      </c>
      <c r="B236" s="40">
        <v>1</v>
      </c>
      <c r="C236" s="40" t="s">
        <v>218</v>
      </c>
      <c r="D236" s="40" t="s">
        <v>376</v>
      </c>
      <c r="E236" s="40">
        <v>72</v>
      </c>
      <c r="F236" s="132"/>
      <c r="G236" s="132"/>
    </row>
    <row r="237" spans="1:7" ht="17.25" customHeight="1">
      <c r="A237" s="40">
        <v>1007</v>
      </c>
      <c r="B237" s="40">
        <v>2</v>
      </c>
      <c r="C237" s="40" t="s">
        <v>237</v>
      </c>
      <c r="D237" s="40" t="s">
        <v>377</v>
      </c>
      <c r="E237" s="40">
        <v>213</v>
      </c>
      <c r="F237" s="132"/>
      <c r="G237" s="132"/>
    </row>
    <row r="238" spans="1:7" ht="17.25" customHeight="1">
      <c r="A238" s="40"/>
      <c r="B238" s="230">
        <f>SUM(B235:B237)</f>
        <v>7</v>
      </c>
      <c r="C238" s="230"/>
      <c r="D238" s="230"/>
      <c r="E238" s="230">
        <f>SUM(E235:E237)</f>
        <v>711</v>
      </c>
      <c r="F238" s="132"/>
      <c r="G238" s="132"/>
    </row>
    <row r="239" spans="1:7" ht="17.25" customHeight="1">
      <c r="A239" s="285" t="s">
        <v>217</v>
      </c>
      <c r="B239" s="286"/>
      <c r="C239" s="287"/>
      <c r="D239" s="40"/>
      <c r="E239" s="39"/>
      <c r="F239" s="132"/>
      <c r="G239" s="132"/>
    </row>
    <row r="240" spans="1:8" ht="17.25" customHeight="1">
      <c r="A240" s="70">
        <v>1003</v>
      </c>
      <c r="B240" s="91">
        <v>27</v>
      </c>
      <c r="C240" s="70" t="s">
        <v>218</v>
      </c>
      <c r="D240" s="40" t="s">
        <v>378</v>
      </c>
      <c r="E240" s="70">
        <v>2471</v>
      </c>
      <c r="F240" s="132"/>
      <c r="G240" s="141">
        <f>B240+B241+B243+B244</f>
        <v>41</v>
      </c>
      <c r="H240" s="99">
        <f>B240+B241+B243+B244</f>
        <v>41</v>
      </c>
    </row>
    <row r="241" spans="1:8" ht="17.25" customHeight="1">
      <c r="A241" s="70">
        <v>1004</v>
      </c>
      <c r="B241" s="91">
        <v>3</v>
      </c>
      <c r="C241" s="70" t="s">
        <v>218</v>
      </c>
      <c r="D241" s="40" t="s">
        <v>379</v>
      </c>
      <c r="E241" s="70">
        <v>264</v>
      </c>
      <c r="F241" s="132"/>
      <c r="G241" s="132"/>
      <c r="H241" s="99">
        <f>B242+B245</f>
        <v>2</v>
      </c>
    </row>
    <row r="242" spans="1:7" ht="17.25" customHeight="1">
      <c r="A242" s="70">
        <v>1005</v>
      </c>
      <c r="B242" s="91">
        <v>1</v>
      </c>
      <c r="C242" s="70" t="s">
        <v>228</v>
      </c>
      <c r="D242" s="40" t="s">
        <v>359</v>
      </c>
      <c r="E242" s="70">
        <v>100</v>
      </c>
      <c r="F242" s="132"/>
      <c r="G242" s="132"/>
    </row>
    <row r="243" spans="1:7" ht="17.25" customHeight="1">
      <c r="A243" s="70">
        <v>1009</v>
      </c>
      <c r="B243" s="91">
        <v>8</v>
      </c>
      <c r="C243" s="70" t="s">
        <v>218</v>
      </c>
      <c r="D243" s="40" t="s">
        <v>364</v>
      </c>
      <c r="E243" s="70">
        <v>734</v>
      </c>
      <c r="F243" s="132"/>
      <c r="G243" s="132"/>
    </row>
    <row r="244" spans="1:7" ht="17.25" customHeight="1">
      <c r="A244" s="70">
        <v>1010</v>
      </c>
      <c r="B244" s="91">
        <v>3</v>
      </c>
      <c r="C244" s="70" t="s">
        <v>218</v>
      </c>
      <c r="D244" s="40" t="s">
        <v>379</v>
      </c>
      <c r="E244" s="70">
        <v>254</v>
      </c>
      <c r="F244" s="132"/>
      <c r="G244" s="132"/>
    </row>
    <row r="245" spans="1:7" ht="17.25" customHeight="1">
      <c r="A245" s="70">
        <v>1011</v>
      </c>
      <c r="B245" s="91">
        <v>1</v>
      </c>
      <c r="C245" s="70" t="s">
        <v>237</v>
      </c>
      <c r="D245" s="40" t="s">
        <v>359</v>
      </c>
      <c r="E245" s="70">
        <v>100</v>
      </c>
      <c r="F245" s="132"/>
      <c r="G245" s="132"/>
    </row>
    <row r="246" spans="1:7" ht="17.25" customHeight="1">
      <c r="A246" s="40"/>
      <c r="B246" s="230">
        <f>SUM(B240:B245)</f>
        <v>43</v>
      </c>
      <c r="C246" s="230"/>
      <c r="D246" s="230"/>
      <c r="E246" s="234">
        <f>SUM(E240:E245)</f>
        <v>3923</v>
      </c>
      <c r="F246" s="132"/>
      <c r="G246" s="132"/>
    </row>
    <row r="247" spans="1:7" ht="17.25" customHeight="1">
      <c r="A247" s="285" t="s">
        <v>230</v>
      </c>
      <c r="B247" s="286"/>
      <c r="C247" s="287"/>
      <c r="D247" s="230"/>
      <c r="E247" s="234"/>
      <c r="F247" s="132"/>
      <c r="G247" s="132"/>
    </row>
    <row r="248" spans="1:7" ht="17.25" customHeight="1">
      <c r="A248" s="70">
        <v>1008</v>
      </c>
      <c r="B248" s="91">
        <v>1</v>
      </c>
      <c r="C248" s="70" t="s">
        <v>218</v>
      </c>
      <c r="D248" s="40" t="s">
        <v>359</v>
      </c>
      <c r="E248" s="70">
        <v>45</v>
      </c>
      <c r="F248" s="132"/>
      <c r="G248" s="132"/>
    </row>
    <row r="249" spans="1:7" ht="17.25" customHeight="1">
      <c r="A249" s="40"/>
      <c r="B249" s="230">
        <f>B248</f>
        <v>1</v>
      </c>
      <c r="C249" s="230"/>
      <c r="D249" s="230"/>
      <c r="E249" s="230">
        <f>E248</f>
        <v>45</v>
      </c>
      <c r="F249" s="132"/>
      <c r="G249" s="132"/>
    </row>
    <row r="250" spans="1:7" ht="17.25" customHeight="1">
      <c r="A250" s="230" t="s">
        <v>14</v>
      </c>
      <c r="B250" s="126">
        <f>B238+B246+B249</f>
        <v>51</v>
      </c>
      <c r="C250" s="126"/>
      <c r="D250" s="126"/>
      <c r="E250" s="126">
        <f>E238+E246+E249</f>
        <v>4679</v>
      </c>
      <c r="F250" s="132"/>
      <c r="G250" s="132"/>
    </row>
    <row r="251" spans="1:7" ht="17.25" customHeight="1">
      <c r="A251" s="234"/>
      <c r="B251" s="127"/>
      <c r="C251" s="128"/>
      <c r="D251" s="126"/>
      <c r="E251" s="126"/>
      <c r="F251" s="132"/>
      <c r="G251" s="132"/>
    </row>
    <row r="252" spans="1:7" ht="25.5" customHeight="1">
      <c r="A252" s="275" t="s">
        <v>428</v>
      </c>
      <c r="B252" s="283"/>
      <c r="C252" s="283"/>
      <c r="D252" s="283"/>
      <c r="E252" s="283"/>
      <c r="F252" s="132"/>
      <c r="G252" s="132"/>
    </row>
    <row r="253" spans="1:7" ht="22.5" customHeight="1">
      <c r="A253" s="40" t="s">
        <v>212</v>
      </c>
      <c r="B253" s="40" t="s">
        <v>213</v>
      </c>
      <c r="C253" s="40" t="s">
        <v>214</v>
      </c>
      <c r="D253" s="40" t="s">
        <v>215</v>
      </c>
      <c r="E253" s="39" t="s">
        <v>216</v>
      </c>
      <c r="F253" s="132"/>
      <c r="G253" s="132"/>
    </row>
    <row r="254" spans="1:7" ht="17.25" customHeight="1">
      <c r="A254" s="285" t="s">
        <v>223</v>
      </c>
      <c r="B254" s="286"/>
      <c r="C254" s="287"/>
      <c r="D254" s="40"/>
      <c r="E254" s="39"/>
      <c r="F254" s="132"/>
      <c r="G254" s="132"/>
    </row>
    <row r="255" spans="1:7" ht="17.25" customHeight="1">
      <c r="A255" s="70" t="s">
        <v>408</v>
      </c>
      <c r="B255" s="91">
        <v>5</v>
      </c>
      <c r="C255" s="91" t="s">
        <v>224</v>
      </c>
      <c r="D255" s="91" t="s">
        <v>398</v>
      </c>
      <c r="E255" s="70">
        <v>303</v>
      </c>
      <c r="F255" s="132"/>
      <c r="G255" s="132"/>
    </row>
    <row r="256" spans="1:7" ht="17.25" customHeight="1">
      <c r="A256" s="40" t="s">
        <v>409</v>
      </c>
      <c r="B256" s="40">
        <v>12</v>
      </c>
      <c r="C256" s="40" t="s">
        <v>225</v>
      </c>
      <c r="D256" s="40" t="s">
        <v>399</v>
      </c>
      <c r="E256" s="40">
        <v>941</v>
      </c>
      <c r="F256" s="132"/>
      <c r="G256" s="132"/>
    </row>
    <row r="257" spans="1:7" ht="17.25" customHeight="1">
      <c r="A257" s="40" t="s">
        <v>410</v>
      </c>
      <c r="B257" s="40">
        <v>4</v>
      </c>
      <c r="C257" s="40" t="s">
        <v>228</v>
      </c>
      <c r="D257" s="40" t="s">
        <v>405</v>
      </c>
      <c r="E257" s="40">
        <v>422</v>
      </c>
      <c r="F257" s="132"/>
      <c r="G257" s="132"/>
    </row>
    <row r="258" spans="1:7" ht="17.25" customHeight="1">
      <c r="A258" s="40"/>
      <c r="B258" s="230">
        <f>SUM(B255:B257)</f>
        <v>21</v>
      </c>
      <c r="C258" s="230"/>
      <c r="D258" s="230"/>
      <c r="E258" s="230">
        <f>SUM(E255:E257)</f>
        <v>1666</v>
      </c>
      <c r="F258" s="132"/>
      <c r="G258" s="132"/>
    </row>
    <row r="259" spans="1:7" ht="17.25" customHeight="1">
      <c r="A259" s="285" t="s">
        <v>217</v>
      </c>
      <c r="B259" s="286"/>
      <c r="C259" s="287"/>
      <c r="D259" s="40"/>
      <c r="E259" s="39"/>
      <c r="F259" s="132"/>
      <c r="G259" s="132"/>
    </row>
    <row r="260" spans="1:7" ht="17.25" customHeight="1">
      <c r="A260" s="70" t="s">
        <v>411</v>
      </c>
      <c r="B260" s="246">
        <v>11</v>
      </c>
      <c r="C260" s="107" t="s">
        <v>224</v>
      </c>
      <c r="D260" s="246" t="s">
        <v>400</v>
      </c>
      <c r="E260" s="107">
        <v>562</v>
      </c>
      <c r="F260" s="132"/>
      <c r="G260" s="132"/>
    </row>
    <row r="261" spans="1:7" ht="17.25" customHeight="1">
      <c r="A261" s="40" t="s">
        <v>416</v>
      </c>
      <c r="B261" s="106">
        <v>4</v>
      </c>
      <c r="C261" s="232" t="s">
        <v>241</v>
      </c>
      <c r="D261" s="106" t="s">
        <v>401</v>
      </c>
      <c r="E261" s="106">
        <v>882</v>
      </c>
      <c r="F261" s="132"/>
      <c r="G261" s="132"/>
    </row>
    <row r="262" spans="1:7" ht="17.25" customHeight="1">
      <c r="A262" s="40" t="s">
        <v>413</v>
      </c>
      <c r="B262" s="106">
        <v>3</v>
      </c>
      <c r="C262" s="232" t="s">
        <v>245</v>
      </c>
      <c r="D262" s="106" t="s">
        <v>402</v>
      </c>
      <c r="E262" s="106">
        <v>865</v>
      </c>
      <c r="F262" s="132"/>
      <c r="G262" s="132"/>
    </row>
    <row r="263" spans="1:7" ht="17.25" customHeight="1">
      <c r="A263" s="40" t="s">
        <v>414</v>
      </c>
      <c r="B263" s="106">
        <v>2</v>
      </c>
      <c r="C263" s="106" t="s">
        <v>224</v>
      </c>
      <c r="D263" s="106" t="s">
        <v>406</v>
      </c>
      <c r="E263" s="106">
        <v>105</v>
      </c>
      <c r="F263" s="132"/>
      <c r="G263" s="132"/>
    </row>
    <row r="264" spans="1:7" ht="17.25" customHeight="1">
      <c r="A264" s="40" t="s">
        <v>415</v>
      </c>
      <c r="B264" s="106">
        <v>2</v>
      </c>
      <c r="C264" s="106" t="s">
        <v>225</v>
      </c>
      <c r="D264" s="106" t="s">
        <v>407</v>
      </c>
      <c r="E264" s="106">
        <v>122</v>
      </c>
      <c r="F264" s="132"/>
      <c r="G264" s="132"/>
    </row>
    <row r="265" spans="1:7" ht="17.25" customHeight="1">
      <c r="A265" s="40"/>
      <c r="B265" s="230">
        <f>SUM(B260:B264)</f>
        <v>22</v>
      </c>
      <c r="C265" s="230"/>
      <c r="D265" s="230"/>
      <c r="E265" s="234">
        <f>SUM(E260:E264)</f>
        <v>2536</v>
      </c>
      <c r="F265" s="132"/>
      <c r="G265" s="132"/>
    </row>
    <row r="266" spans="1:7" ht="17.25" customHeight="1">
      <c r="A266" s="285" t="s">
        <v>229</v>
      </c>
      <c r="B266" s="286"/>
      <c r="C266" s="287"/>
      <c r="D266" s="230"/>
      <c r="E266" s="234"/>
      <c r="F266" s="132"/>
      <c r="G266" s="132"/>
    </row>
    <row r="267" spans="1:7" ht="17.25" customHeight="1">
      <c r="A267" s="40" t="s">
        <v>412</v>
      </c>
      <c r="B267" s="60">
        <v>3</v>
      </c>
      <c r="C267" s="60" t="s">
        <v>225</v>
      </c>
      <c r="D267" s="60" t="s">
        <v>404</v>
      </c>
      <c r="E267" s="40">
        <v>164</v>
      </c>
      <c r="F267" s="132"/>
      <c r="G267" s="132"/>
    </row>
    <row r="268" spans="1:7" ht="17.25" customHeight="1">
      <c r="A268" s="40"/>
      <c r="B268" s="230">
        <f>B267</f>
        <v>3</v>
      </c>
      <c r="C268" s="230"/>
      <c r="D268" s="230"/>
      <c r="E268" s="230">
        <f>E267</f>
        <v>164</v>
      </c>
      <c r="F268" s="132"/>
      <c r="G268" s="132"/>
    </row>
    <row r="269" spans="1:7" ht="17.25" customHeight="1">
      <c r="A269" s="285" t="s">
        <v>230</v>
      </c>
      <c r="B269" s="286"/>
      <c r="C269" s="287"/>
      <c r="D269" s="230"/>
      <c r="E269" s="230"/>
      <c r="F269" s="132"/>
      <c r="G269" s="132"/>
    </row>
    <row r="270" spans="1:7" ht="17.25" customHeight="1">
      <c r="A270" s="40" t="s">
        <v>417</v>
      </c>
      <c r="B270" s="40">
        <v>1</v>
      </c>
      <c r="C270" s="40" t="s">
        <v>225</v>
      </c>
      <c r="D270" s="40" t="s">
        <v>403</v>
      </c>
      <c r="E270" s="40">
        <v>64</v>
      </c>
      <c r="F270" s="132"/>
      <c r="G270" s="132"/>
    </row>
    <row r="271" spans="1:7" ht="17.25" customHeight="1">
      <c r="A271" s="233"/>
      <c r="B271" s="143">
        <f>B270</f>
        <v>1</v>
      </c>
      <c r="C271" s="143"/>
      <c r="D271" s="143"/>
      <c r="E271" s="143">
        <f>E270</f>
        <v>64</v>
      </c>
      <c r="F271" s="132"/>
      <c r="G271" s="132"/>
    </row>
    <row r="272" spans="1:7" ht="17.25" customHeight="1">
      <c r="A272" s="230" t="s">
        <v>14</v>
      </c>
      <c r="B272" s="126">
        <f>B258+B265+B268+B271</f>
        <v>47</v>
      </c>
      <c r="C272" s="126"/>
      <c r="D272" s="126"/>
      <c r="E272" s="126">
        <f>E258+E265+E268+E271</f>
        <v>4430</v>
      </c>
      <c r="F272" s="132"/>
      <c r="G272" s="132"/>
    </row>
    <row r="273" spans="1:7" ht="17.25" customHeight="1">
      <c r="A273" s="234"/>
      <c r="B273" s="127"/>
      <c r="C273" s="128"/>
      <c r="D273" s="126"/>
      <c r="E273" s="126"/>
      <c r="F273" s="132"/>
      <c r="G273" s="132"/>
    </row>
    <row r="274" spans="1:7" ht="32.25" customHeight="1">
      <c r="A274" s="275" t="s">
        <v>673</v>
      </c>
      <c r="B274" s="283"/>
      <c r="C274" s="283"/>
      <c r="D274" s="283"/>
      <c r="E274" s="283"/>
      <c r="F274" s="132"/>
      <c r="G274" s="132"/>
    </row>
    <row r="275" spans="1:7" ht="24" customHeight="1">
      <c r="A275" s="40" t="s">
        <v>212</v>
      </c>
      <c r="B275" s="40" t="s">
        <v>213</v>
      </c>
      <c r="C275" s="40" t="s">
        <v>214</v>
      </c>
      <c r="D275" s="40" t="s">
        <v>215</v>
      </c>
      <c r="E275" s="39" t="s">
        <v>216</v>
      </c>
      <c r="F275" s="132"/>
      <c r="G275" s="132"/>
    </row>
    <row r="276" spans="1:7" ht="17.25" customHeight="1">
      <c r="A276" s="285" t="s">
        <v>223</v>
      </c>
      <c r="B276" s="286"/>
      <c r="C276" s="287"/>
      <c r="D276" s="40"/>
      <c r="E276" s="39"/>
      <c r="F276" s="132"/>
      <c r="G276" s="132"/>
    </row>
    <row r="277" spans="1:7" ht="17.25" customHeight="1">
      <c r="A277" s="40">
        <v>904</v>
      </c>
      <c r="B277" s="60">
        <v>2</v>
      </c>
      <c r="C277" s="60" t="s">
        <v>224</v>
      </c>
      <c r="D277" s="40" t="s">
        <v>429</v>
      </c>
      <c r="E277" s="40">
        <v>119</v>
      </c>
      <c r="F277" s="132"/>
      <c r="G277" s="132"/>
    </row>
    <row r="278" spans="1:7" ht="30" customHeight="1">
      <c r="A278" s="40">
        <v>905</v>
      </c>
      <c r="B278" s="40">
        <v>24</v>
      </c>
      <c r="C278" s="40" t="s">
        <v>225</v>
      </c>
      <c r="D278" s="40" t="s">
        <v>430</v>
      </c>
      <c r="E278" s="40">
        <v>1820</v>
      </c>
      <c r="F278" s="132"/>
      <c r="G278" s="132"/>
    </row>
    <row r="279" spans="1:7" ht="17.25" customHeight="1">
      <c r="A279" s="40">
        <v>906</v>
      </c>
      <c r="B279" s="60">
        <v>5</v>
      </c>
      <c r="C279" s="60" t="s">
        <v>228</v>
      </c>
      <c r="D279" s="40" t="s">
        <v>431</v>
      </c>
      <c r="E279" s="40">
        <v>537</v>
      </c>
      <c r="F279" s="132"/>
      <c r="G279" s="132"/>
    </row>
    <row r="280" spans="1:7" ht="17.25" customHeight="1">
      <c r="A280" s="40"/>
      <c r="B280" s="230">
        <f>SUM(B277:B279)</f>
        <v>31</v>
      </c>
      <c r="C280" s="230"/>
      <c r="D280" s="230"/>
      <c r="E280" s="230">
        <f>SUM(E277:E279)</f>
        <v>2476</v>
      </c>
      <c r="F280" s="132"/>
      <c r="G280" s="132"/>
    </row>
    <row r="281" spans="1:7" ht="17.25" customHeight="1">
      <c r="A281" s="285" t="s">
        <v>217</v>
      </c>
      <c r="B281" s="286"/>
      <c r="C281" s="287"/>
      <c r="D281" s="40"/>
      <c r="E281" s="39"/>
      <c r="F281" s="132"/>
      <c r="G281" s="132"/>
    </row>
    <row r="282" spans="1:7" ht="17.25" customHeight="1">
      <c r="A282" s="40">
        <v>907</v>
      </c>
      <c r="B282" s="60">
        <v>23</v>
      </c>
      <c r="C282" s="60" t="s">
        <v>225</v>
      </c>
      <c r="D282" s="106" t="s">
        <v>432</v>
      </c>
      <c r="E282" s="40">
        <v>1238</v>
      </c>
      <c r="F282" s="132"/>
      <c r="G282" s="132"/>
    </row>
    <row r="283" spans="1:7" ht="17.25" customHeight="1">
      <c r="A283" s="40">
        <v>908</v>
      </c>
      <c r="B283" s="40">
        <v>17</v>
      </c>
      <c r="C283" s="40" t="s">
        <v>228</v>
      </c>
      <c r="D283" s="106" t="s">
        <v>433</v>
      </c>
      <c r="E283" s="40">
        <v>1399</v>
      </c>
      <c r="F283" s="132"/>
      <c r="G283" s="132"/>
    </row>
    <row r="284" spans="1:7" ht="17.25" customHeight="1">
      <c r="A284" s="40"/>
      <c r="B284" s="230">
        <f>SUM(B282:B283)</f>
        <v>40</v>
      </c>
      <c r="C284" s="230"/>
      <c r="D284" s="230"/>
      <c r="E284" s="234">
        <f>SUM(E282:E283)</f>
        <v>2637</v>
      </c>
      <c r="F284" s="132"/>
      <c r="G284" s="132"/>
    </row>
    <row r="285" spans="1:7" ht="17.25" customHeight="1">
      <c r="A285" s="230" t="s">
        <v>14</v>
      </c>
      <c r="B285" s="126">
        <f>B280+B284</f>
        <v>71</v>
      </c>
      <c r="C285" s="126"/>
      <c r="D285" s="126"/>
      <c r="E285" s="126">
        <f>E280+E284</f>
        <v>5113</v>
      </c>
      <c r="F285" s="132"/>
      <c r="G285" s="132"/>
    </row>
    <row r="286" spans="1:7" ht="17.25" customHeight="1">
      <c r="A286" s="234"/>
      <c r="B286" s="127"/>
      <c r="C286" s="128"/>
      <c r="D286" s="126"/>
      <c r="E286" s="126"/>
      <c r="F286" s="132"/>
      <c r="G286" s="132"/>
    </row>
    <row r="287" spans="1:7" ht="26.25" customHeight="1">
      <c r="A287" s="275" t="s">
        <v>674</v>
      </c>
      <c r="B287" s="283"/>
      <c r="C287" s="283"/>
      <c r="D287" s="283"/>
      <c r="E287" s="283"/>
      <c r="F287" s="132"/>
      <c r="G287" s="132"/>
    </row>
    <row r="288" spans="1:7" ht="26.25" customHeight="1">
      <c r="A288" s="40" t="s">
        <v>212</v>
      </c>
      <c r="B288" s="40" t="s">
        <v>213</v>
      </c>
      <c r="C288" s="40" t="s">
        <v>214</v>
      </c>
      <c r="D288" s="40" t="s">
        <v>215</v>
      </c>
      <c r="E288" s="39" t="s">
        <v>216</v>
      </c>
      <c r="F288" s="132"/>
      <c r="G288" s="132"/>
    </row>
    <row r="289" spans="1:7" ht="17.25" customHeight="1">
      <c r="A289" s="285" t="s">
        <v>223</v>
      </c>
      <c r="B289" s="286"/>
      <c r="C289" s="287"/>
      <c r="D289" s="40"/>
      <c r="E289" s="39"/>
      <c r="F289" s="132"/>
      <c r="G289" s="132"/>
    </row>
    <row r="290" spans="1:7" ht="30.75" customHeight="1">
      <c r="A290" s="70">
        <v>1401</v>
      </c>
      <c r="B290" s="91">
        <v>25</v>
      </c>
      <c r="C290" s="91" t="s">
        <v>224</v>
      </c>
      <c r="D290" s="70" t="s">
        <v>438</v>
      </c>
      <c r="E290" s="70">
        <v>1516</v>
      </c>
      <c r="F290" s="132"/>
      <c r="G290" s="132"/>
    </row>
    <row r="291" spans="1:7" ht="17.25" customHeight="1">
      <c r="A291" s="40"/>
      <c r="B291" s="230">
        <f>SUM(B290:B290)</f>
        <v>25</v>
      </c>
      <c r="C291" s="230"/>
      <c r="D291" s="230"/>
      <c r="E291" s="230">
        <f>SUM(E290:E290)</f>
        <v>1516</v>
      </c>
      <c r="F291" s="132"/>
      <c r="G291" s="132"/>
    </row>
    <row r="292" spans="1:7" ht="17.25" customHeight="1">
      <c r="A292" s="285" t="s">
        <v>217</v>
      </c>
      <c r="B292" s="286"/>
      <c r="C292" s="287"/>
      <c r="D292" s="40"/>
      <c r="E292" s="39"/>
      <c r="F292" s="132"/>
      <c r="G292" s="132"/>
    </row>
    <row r="293" spans="1:7" ht="17.25" customHeight="1">
      <c r="A293" s="70">
        <v>1402</v>
      </c>
      <c r="B293" s="91">
        <v>25</v>
      </c>
      <c r="C293" s="91" t="s">
        <v>224</v>
      </c>
      <c r="D293" s="70" t="s">
        <v>439</v>
      </c>
      <c r="E293" s="70">
        <v>1525</v>
      </c>
      <c r="F293" s="132"/>
      <c r="G293" s="132"/>
    </row>
    <row r="294" spans="1:7" ht="17.25" customHeight="1">
      <c r="A294" s="70">
        <v>1403</v>
      </c>
      <c r="B294" s="91">
        <v>25</v>
      </c>
      <c r="C294" s="91" t="s">
        <v>224</v>
      </c>
      <c r="D294" s="91" t="s">
        <v>440</v>
      </c>
      <c r="E294" s="70">
        <v>1525</v>
      </c>
      <c r="F294" s="132"/>
      <c r="G294" s="132"/>
    </row>
    <row r="295" spans="1:7" ht="17.25" customHeight="1">
      <c r="A295" s="70">
        <v>1404</v>
      </c>
      <c r="B295" s="91">
        <v>25</v>
      </c>
      <c r="C295" s="91" t="s">
        <v>224</v>
      </c>
      <c r="D295" s="91" t="s">
        <v>441</v>
      </c>
      <c r="E295" s="40">
        <v>1525</v>
      </c>
      <c r="F295" s="132"/>
      <c r="G295" s="132"/>
    </row>
    <row r="296" spans="1:7" ht="17.25" customHeight="1">
      <c r="A296" s="70">
        <v>1405</v>
      </c>
      <c r="B296" s="91">
        <v>25</v>
      </c>
      <c r="C296" s="91" t="s">
        <v>224</v>
      </c>
      <c r="D296" s="91" t="s">
        <v>442</v>
      </c>
      <c r="E296" s="40">
        <v>1525</v>
      </c>
      <c r="F296" s="132"/>
      <c r="G296" s="132"/>
    </row>
    <row r="297" spans="1:7" ht="17.25" customHeight="1">
      <c r="A297" s="40">
        <v>1406</v>
      </c>
      <c r="B297" s="60">
        <v>24</v>
      </c>
      <c r="C297" s="133" t="s">
        <v>443</v>
      </c>
      <c r="D297" s="40" t="s">
        <v>444</v>
      </c>
      <c r="E297" s="40">
        <v>2776</v>
      </c>
      <c r="F297" s="132"/>
      <c r="G297" s="132"/>
    </row>
    <row r="298" spans="1:7" ht="17.25" customHeight="1">
      <c r="A298" s="40"/>
      <c r="B298" s="230">
        <f>SUM(B293:B297)</f>
        <v>124</v>
      </c>
      <c r="C298" s="230"/>
      <c r="D298" s="230"/>
      <c r="E298" s="230">
        <f>SUM(E293:E297)</f>
        <v>8876</v>
      </c>
      <c r="F298" s="132"/>
      <c r="G298" s="132"/>
    </row>
    <row r="299" spans="1:7" ht="17.25" customHeight="1">
      <c r="A299" s="230" t="s">
        <v>14</v>
      </c>
      <c r="B299" s="126">
        <f>B291+B298</f>
        <v>149</v>
      </c>
      <c r="C299" s="126"/>
      <c r="D299" s="126"/>
      <c r="E299" s="126">
        <f>E291+E298</f>
        <v>10392</v>
      </c>
      <c r="F299" s="132"/>
      <c r="G299" s="132"/>
    </row>
    <row r="300" spans="1:7" ht="17.25" customHeight="1">
      <c r="A300" s="234"/>
      <c r="B300" s="127"/>
      <c r="C300" s="128"/>
      <c r="D300" s="126"/>
      <c r="E300" s="126"/>
      <c r="F300" s="132"/>
      <c r="G300" s="132"/>
    </row>
    <row r="301" spans="1:7" ht="26.25" customHeight="1">
      <c r="A301" s="275" t="s">
        <v>675</v>
      </c>
      <c r="B301" s="283"/>
      <c r="C301" s="283"/>
      <c r="D301" s="283"/>
      <c r="E301" s="283"/>
      <c r="F301" s="132"/>
      <c r="G301" s="132"/>
    </row>
    <row r="302" spans="1:7" ht="23.25" customHeight="1">
      <c r="A302" s="40" t="s">
        <v>212</v>
      </c>
      <c r="B302" s="40" t="s">
        <v>213</v>
      </c>
      <c r="C302" s="40" t="s">
        <v>214</v>
      </c>
      <c r="D302" s="40" t="s">
        <v>215</v>
      </c>
      <c r="E302" s="39" t="s">
        <v>216</v>
      </c>
      <c r="F302" s="132"/>
      <c r="G302" s="132"/>
    </row>
    <row r="303" spans="1:7" ht="17.25" customHeight="1">
      <c r="A303" s="285" t="s">
        <v>223</v>
      </c>
      <c r="B303" s="286"/>
      <c r="C303" s="287"/>
      <c r="D303" s="40"/>
      <c r="E303" s="39"/>
      <c r="F303" s="132"/>
      <c r="G303" s="132"/>
    </row>
    <row r="304" spans="1:7" ht="17.25" customHeight="1">
      <c r="A304" s="70">
        <v>765</v>
      </c>
      <c r="B304" s="40">
        <v>1</v>
      </c>
      <c r="C304" s="40" t="s">
        <v>224</v>
      </c>
      <c r="D304" s="106" t="s">
        <v>447</v>
      </c>
      <c r="E304" s="106">
        <v>48</v>
      </c>
      <c r="F304" s="132"/>
      <c r="G304" s="132"/>
    </row>
    <row r="305" spans="1:7" ht="17.25" customHeight="1">
      <c r="A305" s="40">
        <v>766</v>
      </c>
      <c r="B305" s="40">
        <v>6</v>
      </c>
      <c r="C305" s="40" t="s">
        <v>225</v>
      </c>
      <c r="D305" s="106" t="s">
        <v>448</v>
      </c>
      <c r="E305" s="106">
        <v>446</v>
      </c>
      <c r="F305" s="132"/>
      <c r="G305" s="132"/>
    </row>
    <row r="306" spans="1:7" ht="28.5" customHeight="1">
      <c r="A306" s="40">
        <v>767</v>
      </c>
      <c r="B306" s="40">
        <v>20</v>
      </c>
      <c r="C306" s="40" t="s">
        <v>228</v>
      </c>
      <c r="D306" s="106" t="s">
        <v>450</v>
      </c>
      <c r="E306" s="106">
        <v>2160</v>
      </c>
      <c r="F306" s="132"/>
      <c r="G306" s="132"/>
    </row>
    <row r="307" spans="1:7" ht="17.25" customHeight="1">
      <c r="A307" s="40"/>
      <c r="B307" s="230">
        <f>SUM(B304:B306)</f>
        <v>27</v>
      </c>
      <c r="C307" s="230"/>
      <c r="D307" s="230"/>
      <c r="E307" s="230">
        <f>SUM(E304:E306)</f>
        <v>2654</v>
      </c>
      <c r="F307" s="132"/>
      <c r="G307" s="132"/>
    </row>
    <row r="308" spans="1:7" ht="17.25" customHeight="1">
      <c r="A308" s="285" t="s">
        <v>217</v>
      </c>
      <c r="B308" s="286"/>
      <c r="C308" s="287"/>
      <c r="D308" s="40"/>
      <c r="E308" s="39"/>
      <c r="F308" s="132"/>
      <c r="G308" s="132"/>
    </row>
    <row r="309" spans="1:7" ht="17.25" customHeight="1">
      <c r="A309" s="45">
        <v>768</v>
      </c>
      <c r="B309" s="45">
        <v>8</v>
      </c>
      <c r="C309" s="45" t="s">
        <v>218</v>
      </c>
      <c r="D309" s="105" t="s">
        <v>292</v>
      </c>
      <c r="E309" s="105">
        <v>583</v>
      </c>
      <c r="F309" s="132"/>
      <c r="G309" s="132"/>
    </row>
    <row r="310" spans="1:7" ht="17.25" customHeight="1">
      <c r="A310" s="45">
        <v>769</v>
      </c>
      <c r="B310" s="45">
        <v>4</v>
      </c>
      <c r="C310" s="45" t="s">
        <v>237</v>
      </c>
      <c r="D310" s="105" t="s">
        <v>449</v>
      </c>
      <c r="E310" s="105">
        <v>290</v>
      </c>
      <c r="F310" s="132"/>
      <c r="G310" s="132"/>
    </row>
    <row r="311" spans="1:7" ht="17.25" customHeight="1">
      <c r="A311" s="40"/>
      <c r="B311" s="230">
        <f>SUM(B309:B310)</f>
        <v>12</v>
      </c>
      <c r="C311" s="230"/>
      <c r="D311" s="230"/>
      <c r="E311" s="230">
        <f>SUM(E309:E310)</f>
        <v>873</v>
      </c>
      <c r="F311" s="132"/>
      <c r="G311" s="132"/>
    </row>
    <row r="312" spans="1:7" ht="17.25" customHeight="1">
      <c r="A312" s="230" t="s">
        <v>14</v>
      </c>
      <c r="B312" s="126">
        <f>B307+B311</f>
        <v>39</v>
      </c>
      <c r="C312" s="126"/>
      <c r="D312" s="126"/>
      <c r="E312" s="126">
        <f>E307+E311</f>
        <v>3527</v>
      </c>
      <c r="F312" s="132"/>
      <c r="G312" s="132"/>
    </row>
    <row r="313" spans="1:7" ht="17.25" customHeight="1">
      <c r="A313" s="234"/>
      <c r="B313" s="127"/>
      <c r="C313" s="128"/>
      <c r="D313" s="126"/>
      <c r="E313" s="126"/>
      <c r="F313" s="132"/>
      <c r="G313" s="132"/>
    </row>
    <row r="314" spans="1:7" ht="34.5" customHeight="1">
      <c r="A314" s="275" t="s">
        <v>454</v>
      </c>
      <c r="B314" s="283"/>
      <c r="C314" s="283"/>
      <c r="D314" s="283"/>
      <c r="E314" s="283"/>
      <c r="F314" s="132"/>
      <c r="G314" s="132"/>
    </row>
    <row r="315" spans="1:7" ht="26.25" customHeight="1">
      <c r="A315" s="40" t="s">
        <v>212</v>
      </c>
      <c r="B315" s="40" t="s">
        <v>213</v>
      </c>
      <c r="C315" s="40" t="s">
        <v>214</v>
      </c>
      <c r="D315" s="40" t="s">
        <v>215</v>
      </c>
      <c r="E315" s="39" t="s">
        <v>216</v>
      </c>
      <c r="F315" s="132"/>
      <c r="G315" s="132"/>
    </row>
    <row r="316" spans="1:7" ht="17.25" customHeight="1">
      <c r="A316" s="285" t="s">
        <v>223</v>
      </c>
      <c r="B316" s="286"/>
      <c r="C316" s="287"/>
      <c r="D316" s="40"/>
      <c r="E316" s="39"/>
      <c r="F316" s="132"/>
      <c r="G316" s="132"/>
    </row>
    <row r="317" spans="1:7" ht="18" customHeight="1">
      <c r="A317" s="40">
        <v>1012</v>
      </c>
      <c r="B317" s="198">
        <v>1</v>
      </c>
      <c r="C317" s="198" t="s">
        <v>236</v>
      </c>
      <c r="D317" s="198" t="s">
        <v>262</v>
      </c>
      <c r="E317" s="106">
        <v>56</v>
      </c>
      <c r="F317" s="132"/>
      <c r="G317" s="132"/>
    </row>
    <row r="318" spans="1:7" ht="17.25" customHeight="1">
      <c r="A318" s="247">
        <v>1013</v>
      </c>
      <c r="B318" s="199">
        <v>1</v>
      </c>
      <c r="C318" s="199" t="s">
        <v>218</v>
      </c>
      <c r="D318" s="40" t="s">
        <v>451</v>
      </c>
      <c r="E318" s="199">
        <v>72</v>
      </c>
      <c r="F318" s="132"/>
      <c r="G318" s="132"/>
    </row>
    <row r="319" spans="1:7" ht="17.25" customHeight="1">
      <c r="A319" s="247">
        <v>1014</v>
      </c>
      <c r="B319" s="199">
        <v>5</v>
      </c>
      <c r="C319" s="199" t="s">
        <v>237</v>
      </c>
      <c r="D319" s="40" t="s">
        <v>452</v>
      </c>
      <c r="E319" s="199">
        <v>528</v>
      </c>
      <c r="F319" s="132"/>
      <c r="G319" s="132"/>
    </row>
    <row r="320" spans="1:7" ht="17.25" customHeight="1">
      <c r="A320" s="40"/>
      <c r="B320" s="230">
        <f>SUM(B317:B319)</f>
        <v>7</v>
      </c>
      <c r="C320" s="230"/>
      <c r="D320" s="230"/>
      <c r="E320" s="230">
        <f>SUM(E317:E319)</f>
        <v>656</v>
      </c>
      <c r="F320" s="132"/>
      <c r="G320" s="132"/>
    </row>
    <row r="321" spans="1:7" ht="17.25" customHeight="1">
      <c r="A321" s="285" t="s">
        <v>217</v>
      </c>
      <c r="B321" s="286"/>
      <c r="C321" s="287"/>
      <c r="D321" s="40"/>
      <c r="E321" s="39"/>
      <c r="F321" s="132"/>
      <c r="G321" s="132"/>
    </row>
    <row r="322" spans="1:7" ht="17.25" customHeight="1">
      <c r="A322" s="40">
        <v>1020</v>
      </c>
      <c r="B322" s="60">
        <v>10</v>
      </c>
      <c r="C322" s="232" t="s">
        <v>455</v>
      </c>
      <c r="D322" s="60" t="s">
        <v>456</v>
      </c>
      <c r="E322" s="60">
        <v>1765</v>
      </c>
      <c r="F322" s="132"/>
      <c r="G322" s="132"/>
    </row>
    <row r="323" spans="1:7" ht="17.25" customHeight="1">
      <c r="A323" s="70">
        <v>1016</v>
      </c>
      <c r="B323" s="91">
        <v>2</v>
      </c>
      <c r="C323" s="70" t="s">
        <v>236</v>
      </c>
      <c r="D323" s="106" t="s">
        <v>306</v>
      </c>
      <c r="E323" s="107">
        <v>84</v>
      </c>
      <c r="F323" s="132"/>
      <c r="G323" s="132"/>
    </row>
    <row r="324" spans="1:7" ht="17.25" customHeight="1">
      <c r="A324" s="70">
        <v>1017</v>
      </c>
      <c r="B324" s="91">
        <v>19</v>
      </c>
      <c r="C324" s="70" t="s">
        <v>218</v>
      </c>
      <c r="D324" s="106" t="s">
        <v>453</v>
      </c>
      <c r="E324" s="107">
        <v>1705</v>
      </c>
      <c r="F324" s="132"/>
      <c r="G324" s="132"/>
    </row>
    <row r="325" spans="1:7" ht="17.25" customHeight="1">
      <c r="A325" s="70">
        <v>1018</v>
      </c>
      <c r="B325" s="91">
        <v>3</v>
      </c>
      <c r="C325" s="70" t="s">
        <v>218</v>
      </c>
      <c r="D325" s="106" t="s">
        <v>240</v>
      </c>
      <c r="E325" s="107">
        <v>254</v>
      </c>
      <c r="F325" s="132"/>
      <c r="G325" s="132"/>
    </row>
    <row r="326" spans="1:7" ht="17.25" customHeight="1">
      <c r="A326" s="70">
        <v>1019</v>
      </c>
      <c r="B326" s="91">
        <v>1</v>
      </c>
      <c r="C326" s="70" t="s">
        <v>237</v>
      </c>
      <c r="D326" s="106" t="s">
        <v>239</v>
      </c>
      <c r="E326" s="107">
        <v>100</v>
      </c>
      <c r="F326" s="132"/>
      <c r="G326" s="132"/>
    </row>
    <row r="327" spans="1:7" ht="17.25" customHeight="1">
      <c r="A327" s="40"/>
      <c r="B327" s="230">
        <f>SUM(B322:B326)</f>
        <v>35</v>
      </c>
      <c r="C327" s="230"/>
      <c r="D327" s="230"/>
      <c r="E327" s="230">
        <f>SUM(E322:E326)</f>
        <v>3908</v>
      </c>
      <c r="F327" s="132"/>
      <c r="G327" s="132"/>
    </row>
    <row r="328" spans="1:7" ht="17.25" customHeight="1">
      <c r="A328" s="285" t="s">
        <v>230</v>
      </c>
      <c r="B328" s="286"/>
      <c r="C328" s="287"/>
      <c r="D328" s="167"/>
      <c r="E328" s="230"/>
      <c r="F328" s="132"/>
      <c r="G328" s="132"/>
    </row>
    <row r="329" spans="1:7" ht="17.25" customHeight="1">
      <c r="A329" s="70">
        <v>1015</v>
      </c>
      <c r="B329" s="91">
        <v>1</v>
      </c>
      <c r="C329" s="70" t="s">
        <v>218</v>
      </c>
      <c r="D329" s="106" t="s">
        <v>239</v>
      </c>
      <c r="E329" s="107">
        <v>45</v>
      </c>
      <c r="F329" s="132"/>
      <c r="G329" s="132"/>
    </row>
    <row r="330" spans="1:7" ht="17.25" customHeight="1">
      <c r="A330" s="40"/>
      <c r="B330" s="230">
        <f>B329</f>
        <v>1</v>
      </c>
      <c r="C330" s="230"/>
      <c r="D330" s="230"/>
      <c r="E330" s="230">
        <f>E329</f>
        <v>45</v>
      </c>
      <c r="F330" s="132"/>
      <c r="G330" s="132"/>
    </row>
    <row r="331" spans="1:7" ht="17.25" customHeight="1">
      <c r="A331" s="230" t="s">
        <v>14</v>
      </c>
      <c r="B331" s="126">
        <f>B320+B327+B330</f>
        <v>43</v>
      </c>
      <c r="C331" s="126"/>
      <c r="D331" s="126"/>
      <c r="E331" s="126">
        <f>E320+E327+E330</f>
        <v>4609</v>
      </c>
      <c r="F331" s="132"/>
      <c r="G331" s="132"/>
    </row>
    <row r="332" spans="1:7" ht="17.25" customHeight="1">
      <c r="A332" s="234"/>
      <c r="B332" s="127"/>
      <c r="C332" s="128"/>
      <c r="D332" s="126"/>
      <c r="E332" s="126"/>
      <c r="F332" s="132"/>
      <c r="G332" s="132"/>
    </row>
    <row r="333" spans="1:7" ht="26.25" customHeight="1">
      <c r="A333" s="275" t="s">
        <v>469</v>
      </c>
      <c r="B333" s="283"/>
      <c r="C333" s="283"/>
      <c r="D333" s="283"/>
      <c r="E333" s="283"/>
      <c r="F333" s="132"/>
      <c r="G333" s="132"/>
    </row>
    <row r="334" spans="1:7" ht="29.25" customHeight="1">
      <c r="A334" s="40" t="s">
        <v>212</v>
      </c>
      <c r="B334" s="40" t="s">
        <v>213</v>
      </c>
      <c r="C334" s="40" t="s">
        <v>214</v>
      </c>
      <c r="D334" s="40" t="s">
        <v>215</v>
      </c>
      <c r="E334" s="39" t="s">
        <v>216</v>
      </c>
      <c r="F334" s="132"/>
      <c r="G334" s="132"/>
    </row>
    <row r="335" spans="1:7" ht="19.5" customHeight="1">
      <c r="A335" s="285" t="s">
        <v>223</v>
      </c>
      <c r="B335" s="286"/>
      <c r="C335" s="287"/>
      <c r="D335" s="40"/>
      <c r="E335" s="39"/>
      <c r="F335" s="132"/>
      <c r="G335" s="132"/>
    </row>
    <row r="336" spans="1:7" ht="30">
      <c r="A336" s="40">
        <v>1021</v>
      </c>
      <c r="B336" s="198">
        <v>11</v>
      </c>
      <c r="C336" s="199" t="s">
        <v>237</v>
      </c>
      <c r="D336" s="40" t="s">
        <v>470</v>
      </c>
      <c r="E336" s="199">
        <v>1147</v>
      </c>
      <c r="F336" s="132"/>
      <c r="G336" s="132"/>
    </row>
    <row r="337" spans="1:7" ht="17.25" customHeight="1">
      <c r="A337" s="40"/>
      <c r="B337" s="230">
        <f>SUM(B336:B336)</f>
        <v>11</v>
      </c>
      <c r="C337" s="230"/>
      <c r="D337" s="230"/>
      <c r="E337" s="230">
        <f>SUM(E336:E336)</f>
        <v>1147</v>
      </c>
      <c r="F337" s="132"/>
      <c r="G337" s="132"/>
    </row>
    <row r="338" spans="1:7" ht="17.25" customHeight="1">
      <c r="A338" s="285" t="s">
        <v>217</v>
      </c>
      <c r="B338" s="286"/>
      <c r="C338" s="287"/>
      <c r="D338" s="40"/>
      <c r="E338" s="39"/>
      <c r="F338" s="132"/>
      <c r="G338" s="132"/>
    </row>
    <row r="339" spans="1:7" ht="21" customHeight="1">
      <c r="A339" s="70">
        <v>1022</v>
      </c>
      <c r="B339" s="91">
        <v>25</v>
      </c>
      <c r="C339" s="200" t="s">
        <v>475</v>
      </c>
      <c r="D339" s="106" t="s">
        <v>471</v>
      </c>
      <c r="E339" s="107">
        <v>2568</v>
      </c>
      <c r="F339" s="132"/>
      <c r="G339" s="132"/>
    </row>
    <row r="340" spans="1:7" ht="28.5" customHeight="1">
      <c r="A340" s="70">
        <v>1023</v>
      </c>
      <c r="B340" s="91">
        <v>25</v>
      </c>
      <c r="C340" s="200" t="s">
        <v>232</v>
      </c>
      <c r="D340" s="106" t="s">
        <v>472</v>
      </c>
      <c r="E340" s="107">
        <v>2601</v>
      </c>
      <c r="F340" s="132"/>
      <c r="G340" s="132"/>
    </row>
    <row r="341" spans="1:7" ht="21" customHeight="1">
      <c r="A341" s="70">
        <v>1024</v>
      </c>
      <c r="B341" s="91">
        <v>20</v>
      </c>
      <c r="C341" s="200" t="s">
        <v>476</v>
      </c>
      <c r="D341" s="106" t="s">
        <v>473</v>
      </c>
      <c r="E341" s="107">
        <v>3542</v>
      </c>
      <c r="F341" s="132"/>
      <c r="G341" s="132"/>
    </row>
    <row r="342" spans="1:7" ht="21" customHeight="1">
      <c r="A342" s="40">
        <v>1025</v>
      </c>
      <c r="B342" s="60">
        <v>30</v>
      </c>
      <c r="C342" s="232" t="s">
        <v>477</v>
      </c>
      <c r="D342" s="106" t="s">
        <v>474</v>
      </c>
      <c r="E342" s="106">
        <v>7261</v>
      </c>
      <c r="F342" s="132"/>
      <c r="G342" s="132"/>
    </row>
    <row r="343" spans="1:7" ht="22.5" customHeight="1">
      <c r="A343" s="70">
        <v>1027</v>
      </c>
      <c r="B343" s="91">
        <v>1</v>
      </c>
      <c r="C343" s="70" t="s">
        <v>236</v>
      </c>
      <c r="D343" s="106" t="s">
        <v>239</v>
      </c>
      <c r="E343" s="107">
        <v>36</v>
      </c>
      <c r="F343" s="132"/>
      <c r="G343" s="132"/>
    </row>
    <row r="344" spans="1:7" ht="22.5" customHeight="1">
      <c r="A344" s="70">
        <v>1028</v>
      </c>
      <c r="B344" s="91">
        <v>22</v>
      </c>
      <c r="C344" s="70" t="s">
        <v>218</v>
      </c>
      <c r="D344" s="106" t="s">
        <v>478</v>
      </c>
      <c r="E344" s="107">
        <v>1976</v>
      </c>
      <c r="F344" s="132"/>
      <c r="G344" s="132"/>
    </row>
    <row r="345" spans="1:7" ht="22.5" customHeight="1">
      <c r="A345" s="70">
        <v>1029</v>
      </c>
      <c r="B345" s="91">
        <v>11</v>
      </c>
      <c r="C345" s="70" t="s">
        <v>218</v>
      </c>
      <c r="D345" s="106" t="s">
        <v>479</v>
      </c>
      <c r="E345" s="107">
        <v>926</v>
      </c>
      <c r="F345" s="132"/>
      <c r="G345" s="132"/>
    </row>
    <row r="346" spans="1:7" ht="22.5" customHeight="1">
      <c r="A346" s="70">
        <v>1030</v>
      </c>
      <c r="B346" s="91">
        <v>3</v>
      </c>
      <c r="C346" s="70" t="s">
        <v>237</v>
      </c>
      <c r="D346" s="106" t="s">
        <v>240</v>
      </c>
      <c r="E346" s="107">
        <v>300</v>
      </c>
      <c r="F346" s="132"/>
      <c r="G346" s="132"/>
    </row>
    <row r="347" spans="1:7" ht="17.25" customHeight="1">
      <c r="A347" s="40"/>
      <c r="B347" s="230">
        <f>SUM(B339:B346)</f>
        <v>137</v>
      </c>
      <c r="C347" s="230"/>
      <c r="D347" s="230"/>
      <c r="E347" s="230">
        <f>SUM(E339:E346)</f>
        <v>19210</v>
      </c>
      <c r="F347" s="132"/>
      <c r="G347" s="132"/>
    </row>
    <row r="348" spans="1:7" ht="17.25" customHeight="1">
      <c r="A348" s="285" t="s">
        <v>230</v>
      </c>
      <c r="B348" s="286"/>
      <c r="C348" s="287"/>
      <c r="D348" s="230"/>
      <c r="E348" s="230"/>
      <c r="F348" s="132"/>
      <c r="G348" s="132"/>
    </row>
    <row r="349" spans="1:7" ht="26.25" customHeight="1">
      <c r="A349" s="70">
        <v>1026</v>
      </c>
      <c r="B349" s="91">
        <v>1</v>
      </c>
      <c r="C349" s="70" t="s">
        <v>218</v>
      </c>
      <c r="D349" s="106" t="s">
        <v>239</v>
      </c>
      <c r="E349" s="107">
        <v>45</v>
      </c>
      <c r="F349" s="132"/>
      <c r="G349" s="132"/>
    </row>
    <row r="350" spans="1:7" ht="17.25" customHeight="1">
      <c r="A350" s="40"/>
      <c r="B350" s="230">
        <f>B349</f>
        <v>1</v>
      </c>
      <c r="C350" s="230"/>
      <c r="D350" s="230"/>
      <c r="E350" s="230">
        <f>E349</f>
        <v>45</v>
      </c>
      <c r="F350" s="132"/>
      <c r="G350" s="132"/>
    </row>
    <row r="351" spans="1:7" ht="17.25" customHeight="1">
      <c r="A351" s="230" t="s">
        <v>14</v>
      </c>
      <c r="B351" s="126">
        <f>B337+B347+B350</f>
        <v>149</v>
      </c>
      <c r="C351" s="126"/>
      <c r="D351" s="126"/>
      <c r="E351" s="126">
        <f>E337+E347+E350</f>
        <v>20402</v>
      </c>
      <c r="F351" s="132"/>
      <c r="G351" s="132"/>
    </row>
    <row r="352" spans="1:7" ht="17.25" customHeight="1">
      <c r="A352" s="234"/>
      <c r="B352" s="127"/>
      <c r="C352" s="128"/>
      <c r="D352" s="126"/>
      <c r="E352" s="126"/>
      <c r="F352" s="132"/>
      <c r="G352" s="132"/>
    </row>
    <row r="353" spans="1:7" ht="28.5" customHeight="1">
      <c r="A353" s="275" t="s">
        <v>480</v>
      </c>
      <c r="B353" s="283"/>
      <c r="C353" s="283"/>
      <c r="D353" s="283"/>
      <c r="E353" s="283"/>
      <c r="F353" s="132"/>
      <c r="G353" s="132"/>
    </row>
    <row r="354" spans="1:7" ht="24" customHeight="1">
      <c r="A354" s="40" t="s">
        <v>212</v>
      </c>
      <c r="B354" s="40" t="s">
        <v>213</v>
      </c>
      <c r="C354" s="40" t="s">
        <v>214</v>
      </c>
      <c r="D354" s="40" t="s">
        <v>215</v>
      </c>
      <c r="E354" s="39" t="s">
        <v>216</v>
      </c>
      <c r="F354" s="132"/>
      <c r="G354" s="132"/>
    </row>
    <row r="355" spans="1:7" ht="17.25" customHeight="1">
      <c r="A355" s="285" t="s">
        <v>223</v>
      </c>
      <c r="B355" s="286"/>
      <c r="C355" s="287"/>
      <c r="D355" s="40"/>
      <c r="E355" s="39"/>
      <c r="F355" s="132"/>
      <c r="G355" s="132"/>
    </row>
    <row r="356" spans="1:7" ht="30.75" customHeight="1">
      <c r="A356" s="70">
        <v>205</v>
      </c>
      <c r="B356" s="91">
        <v>17</v>
      </c>
      <c r="C356" s="91" t="s">
        <v>224</v>
      </c>
      <c r="D356" s="70" t="s">
        <v>481</v>
      </c>
      <c r="E356" s="107">
        <v>1056</v>
      </c>
      <c r="F356" s="132"/>
      <c r="G356" s="132"/>
    </row>
    <row r="357" spans="1:7" ht="17.25" customHeight="1">
      <c r="A357" s="40">
        <v>206</v>
      </c>
      <c r="B357" s="106">
        <v>8</v>
      </c>
      <c r="C357" s="106" t="s">
        <v>225</v>
      </c>
      <c r="D357" s="106" t="s">
        <v>482</v>
      </c>
      <c r="E357" s="106">
        <v>643</v>
      </c>
      <c r="F357" s="132"/>
      <c r="G357" s="132"/>
    </row>
    <row r="358" spans="1:7" ht="17.25" customHeight="1">
      <c r="A358" s="40"/>
      <c r="B358" s="230">
        <f>SUM(B356:B357)</f>
        <v>25</v>
      </c>
      <c r="C358" s="230"/>
      <c r="D358" s="230"/>
      <c r="E358" s="230">
        <f>SUM(E356:E357)</f>
        <v>1699</v>
      </c>
      <c r="F358" s="132"/>
      <c r="G358" s="132"/>
    </row>
    <row r="359" spans="1:7" ht="17.25" customHeight="1">
      <c r="A359" s="285" t="s">
        <v>217</v>
      </c>
      <c r="B359" s="286"/>
      <c r="C359" s="287"/>
      <c r="D359" s="40"/>
      <c r="E359" s="39"/>
      <c r="F359" s="132"/>
      <c r="G359" s="132"/>
    </row>
    <row r="360" spans="1:7" ht="17.25" customHeight="1">
      <c r="A360" s="40">
        <v>207</v>
      </c>
      <c r="B360" s="60">
        <v>15</v>
      </c>
      <c r="C360" s="40" t="s">
        <v>224</v>
      </c>
      <c r="D360" s="60" t="s">
        <v>483</v>
      </c>
      <c r="E360" s="40">
        <v>772</v>
      </c>
      <c r="F360" s="132"/>
      <c r="G360" s="132">
        <f>B360+B365</f>
        <v>18</v>
      </c>
    </row>
    <row r="361" spans="1:7" ht="17.25" customHeight="1">
      <c r="A361" s="40">
        <v>208</v>
      </c>
      <c r="B361" s="40">
        <v>2</v>
      </c>
      <c r="C361" s="40" t="s">
        <v>225</v>
      </c>
      <c r="D361" s="40" t="s">
        <v>484</v>
      </c>
      <c r="E361" s="40">
        <v>143</v>
      </c>
      <c r="F361" s="132"/>
      <c r="G361" s="132">
        <f>B361+B366</f>
        <v>5</v>
      </c>
    </row>
    <row r="362" spans="1:7" ht="17.25" customHeight="1">
      <c r="A362" s="40">
        <v>211</v>
      </c>
      <c r="B362" s="40">
        <v>2</v>
      </c>
      <c r="C362" s="232" t="s">
        <v>232</v>
      </c>
      <c r="D362" s="40" t="s">
        <v>485</v>
      </c>
      <c r="E362" s="40">
        <v>248</v>
      </c>
      <c r="F362" s="132"/>
      <c r="G362" s="132"/>
    </row>
    <row r="363" spans="1:7" ht="17.25" customHeight="1">
      <c r="A363" s="40">
        <v>212</v>
      </c>
      <c r="B363" s="40">
        <v>4</v>
      </c>
      <c r="C363" s="232" t="s">
        <v>241</v>
      </c>
      <c r="D363" s="40" t="s">
        <v>486</v>
      </c>
      <c r="E363" s="40">
        <v>800</v>
      </c>
      <c r="F363" s="132"/>
      <c r="G363" s="132"/>
    </row>
    <row r="364" spans="1:7" ht="17.25" customHeight="1">
      <c r="A364" s="40">
        <v>214</v>
      </c>
      <c r="B364" s="40">
        <v>2</v>
      </c>
      <c r="C364" s="232" t="s">
        <v>245</v>
      </c>
      <c r="D364" s="40" t="s">
        <v>487</v>
      </c>
      <c r="E364" s="40">
        <v>585</v>
      </c>
      <c r="F364" s="132"/>
      <c r="G364" s="132"/>
    </row>
    <row r="365" spans="1:7" ht="17.25" customHeight="1">
      <c r="A365" s="40">
        <v>215</v>
      </c>
      <c r="B365" s="40">
        <v>3</v>
      </c>
      <c r="C365" s="40" t="s">
        <v>224</v>
      </c>
      <c r="D365" s="40" t="s">
        <v>493</v>
      </c>
      <c r="E365" s="40">
        <v>162</v>
      </c>
      <c r="F365" s="132"/>
      <c r="G365" s="132"/>
    </row>
    <row r="366" spans="1:7" ht="17.25" customHeight="1">
      <c r="A366" s="40">
        <v>216</v>
      </c>
      <c r="B366" s="40">
        <v>3</v>
      </c>
      <c r="C366" s="40" t="s">
        <v>225</v>
      </c>
      <c r="D366" s="40" t="s">
        <v>494</v>
      </c>
      <c r="E366" s="40">
        <v>200</v>
      </c>
      <c r="F366" s="132"/>
      <c r="G366" s="132"/>
    </row>
    <row r="367" spans="1:7" ht="25.5" customHeight="1">
      <c r="A367" s="40">
        <v>213</v>
      </c>
      <c r="B367" s="40">
        <v>3</v>
      </c>
      <c r="C367" s="232" t="s">
        <v>488</v>
      </c>
      <c r="D367" s="40" t="s">
        <v>489</v>
      </c>
      <c r="E367" s="40">
        <v>580</v>
      </c>
      <c r="F367" s="132"/>
      <c r="G367" s="132"/>
    </row>
    <row r="368" spans="1:7" ht="17.25" customHeight="1">
      <c r="A368" s="40"/>
      <c r="B368" s="230">
        <f>SUM(B360:B367)</f>
        <v>34</v>
      </c>
      <c r="C368" s="230"/>
      <c r="D368" s="230"/>
      <c r="E368" s="230">
        <f>SUM(E360:E367)</f>
        <v>3490</v>
      </c>
      <c r="F368" s="132"/>
      <c r="G368" s="132"/>
    </row>
    <row r="369" spans="1:7" ht="17.25" customHeight="1">
      <c r="A369" s="285" t="s">
        <v>229</v>
      </c>
      <c r="B369" s="286"/>
      <c r="C369" s="287"/>
      <c r="D369" s="230"/>
      <c r="E369" s="230"/>
      <c r="F369" s="132"/>
      <c r="G369" s="132"/>
    </row>
    <row r="370" spans="1:7" ht="17.25" customHeight="1">
      <c r="A370" s="40">
        <v>209</v>
      </c>
      <c r="B370" s="60">
        <v>5</v>
      </c>
      <c r="C370" s="60" t="s">
        <v>225</v>
      </c>
      <c r="D370" s="60" t="s">
        <v>491</v>
      </c>
      <c r="E370" s="40">
        <v>281</v>
      </c>
      <c r="F370" s="132"/>
      <c r="G370" s="132"/>
    </row>
    <row r="371" spans="1:7" ht="17.25" customHeight="1">
      <c r="A371" s="40"/>
      <c r="B371" s="230">
        <f>B370</f>
        <v>5</v>
      </c>
      <c r="C371" s="230"/>
      <c r="D371" s="230"/>
      <c r="E371" s="230">
        <f>E370</f>
        <v>281</v>
      </c>
      <c r="F371" s="132"/>
      <c r="G371" s="132"/>
    </row>
    <row r="372" spans="1:7" ht="17.25" customHeight="1">
      <c r="A372" s="285" t="s">
        <v>230</v>
      </c>
      <c r="B372" s="286"/>
      <c r="C372" s="287"/>
      <c r="D372" s="230"/>
      <c r="E372" s="230"/>
      <c r="F372" s="132"/>
      <c r="G372" s="132"/>
    </row>
    <row r="373" spans="1:7" ht="17.25" customHeight="1">
      <c r="A373" s="40">
        <v>210</v>
      </c>
      <c r="B373" s="40">
        <v>1</v>
      </c>
      <c r="C373" s="40" t="s">
        <v>225</v>
      </c>
      <c r="D373" s="40" t="s">
        <v>490</v>
      </c>
      <c r="E373" s="40">
        <v>56</v>
      </c>
      <c r="F373" s="132"/>
      <c r="G373" s="132"/>
    </row>
    <row r="374" spans="1:7" ht="17.25" customHeight="1">
      <c r="A374" s="40"/>
      <c r="B374" s="230">
        <f>B373</f>
        <v>1</v>
      </c>
      <c r="C374" s="230"/>
      <c r="D374" s="230"/>
      <c r="E374" s="230">
        <f>E373</f>
        <v>56</v>
      </c>
      <c r="F374" s="132"/>
      <c r="G374" s="132"/>
    </row>
    <row r="375" spans="1:7" ht="17.25" customHeight="1">
      <c r="A375" s="230" t="s">
        <v>14</v>
      </c>
      <c r="B375" s="126">
        <f>B358+B368+B374+B371</f>
        <v>65</v>
      </c>
      <c r="C375" s="126"/>
      <c r="D375" s="126"/>
      <c r="E375" s="126">
        <f>E358+E368+E374+E371</f>
        <v>5526</v>
      </c>
      <c r="F375" s="132"/>
      <c r="G375" s="132"/>
    </row>
    <row r="376" spans="1:7" ht="17.25" customHeight="1">
      <c r="A376" s="234"/>
      <c r="B376" s="127"/>
      <c r="C376" s="128"/>
      <c r="D376" s="126"/>
      <c r="E376" s="126"/>
      <c r="F376" s="132"/>
      <c r="G376" s="132"/>
    </row>
    <row r="377" spans="1:7" ht="28.5" customHeight="1">
      <c r="A377" s="275" t="s">
        <v>495</v>
      </c>
      <c r="B377" s="283"/>
      <c r="C377" s="283"/>
      <c r="D377" s="283"/>
      <c r="E377" s="283"/>
      <c r="F377" s="132"/>
      <c r="G377" s="132"/>
    </row>
    <row r="378" spans="1:7" ht="22.5" customHeight="1">
      <c r="A378" s="40" t="s">
        <v>212</v>
      </c>
      <c r="B378" s="40" t="s">
        <v>213</v>
      </c>
      <c r="C378" s="40" t="s">
        <v>214</v>
      </c>
      <c r="D378" s="40" t="s">
        <v>215</v>
      </c>
      <c r="E378" s="39" t="s">
        <v>216</v>
      </c>
      <c r="F378" s="132"/>
      <c r="G378" s="132"/>
    </row>
    <row r="379" spans="1:7" ht="17.25" customHeight="1">
      <c r="A379" s="285" t="s">
        <v>223</v>
      </c>
      <c r="B379" s="286"/>
      <c r="C379" s="287"/>
      <c r="D379" s="40"/>
      <c r="E379" s="39"/>
      <c r="F379" s="132"/>
      <c r="G379" s="132"/>
    </row>
    <row r="380" spans="1:7" ht="26.25" customHeight="1">
      <c r="A380" s="60" t="s">
        <v>499</v>
      </c>
      <c r="B380" s="60">
        <v>20</v>
      </c>
      <c r="C380" s="60" t="s">
        <v>224</v>
      </c>
      <c r="D380" s="40" t="s">
        <v>500</v>
      </c>
      <c r="E380" s="60">
        <v>1213.7</v>
      </c>
      <c r="F380" s="132"/>
      <c r="G380" s="132"/>
    </row>
    <row r="381" spans="1:7" ht="17.25" customHeight="1">
      <c r="A381" s="60" t="s">
        <v>501</v>
      </c>
      <c r="B381" s="60">
        <v>6</v>
      </c>
      <c r="C381" s="60" t="s">
        <v>228</v>
      </c>
      <c r="D381" s="40" t="s">
        <v>502</v>
      </c>
      <c r="E381" s="60">
        <v>672.4</v>
      </c>
      <c r="F381" s="132"/>
      <c r="G381" s="132"/>
    </row>
    <row r="382" spans="1:7" ht="17.25" customHeight="1">
      <c r="A382" s="60" t="s">
        <v>503</v>
      </c>
      <c r="B382" s="60">
        <v>7</v>
      </c>
      <c r="C382" s="60" t="s">
        <v>218</v>
      </c>
      <c r="D382" s="40" t="s">
        <v>504</v>
      </c>
      <c r="E382" s="60">
        <v>560.05</v>
      </c>
      <c r="F382" s="132"/>
      <c r="G382" s="132"/>
    </row>
    <row r="383" spans="1:7" ht="17.25" customHeight="1">
      <c r="A383" s="60" t="s">
        <v>505</v>
      </c>
      <c r="B383" s="60">
        <v>1</v>
      </c>
      <c r="C383" s="40" t="s">
        <v>546</v>
      </c>
      <c r="D383" s="40" t="s">
        <v>506</v>
      </c>
      <c r="E383" s="60">
        <v>62</v>
      </c>
      <c r="F383" s="132"/>
      <c r="G383" s="132"/>
    </row>
    <row r="384" spans="1:7" ht="17.25" customHeight="1">
      <c r="A384" s="60" t="s">
        <v>507</v>
      </c>
      <c r="B384" s="60">
        <v>6</v>
      </c>
      <c r="C384" s="60" t="s">
        <v>224</v>
      </c>
      <c r="D384" s="40" t="s">
        <v>508</v>
      </c>
      <c r="E384" s="60">
        <v>347</v>
      </c>
      <c r="F384" s="132"/>
      <c r="G384" s="132"/>
    </row>
    <row r="385" spans="1:7" ht="17.25" customHeight="1">
      <c r="A385" s="40"/>
      <c r="B385" s="230">
        <f>SUM(B380:B384)</f>
        <v>40</v>
      </c>
      <c r="C385" s="230"/>
      <c r="D385" s="230"/>
      <c r="E385" s="230">
        <f>SUM(E380:E384)</f>
        <v>2855.1499999999996</v>
      </c>
      <c r="F385" s="132"/>
      <c r="G385" s="132"/>
    </row>
    <row r="386" spans="1:7" ht="17.25" customHeight="1">
      <c r="A386" s="285" t="s">
        <v>217</v>
      </c>
      <c r="B386" s="286"/>
      <c r="C386" s="287"/>
      <c r="D386" s="40"/>
      <c r="E386" s="39"/>
      <c r="F386" s="132"/>
      <c r="G386" s="132"/>
    </row>
    <row r="387" spans="1:8" ht="17.25" customHeight="1">
      <c r="A387" s="60" t="s">
        <v>509</v>
      </c>
      <c r="B387" s="198">
        <v>14</v>
      </c>
      <c r="C387" s="106" t="s">
        <v>224</v>
      </c>
      <c r="D387" s="106" t="s">
        <v>510</v>
      </c>
      <c r="E387" s="198">
        <v>837</v>
      </c>
      <c r="F387" s="132"/>
      <c r="G387" s="132"/>
      <c r="H387" s="99">
        <f>B387+B390</f>
        <v>23</v>
      </c>
    </row>
    <row r="388" spans="1:7" ht="17.25" customHeight="1">
      <c r="A388" s="60" t="s">
        <v>511</v>
      </c>
      <c r="B388" s="198">
        <v>2</v>
      </c>
      <c r="C388" s="232" t="s">
        <v>475</v>
      </c>
      <c r="D388" s="40" t="s">
        <v>512</v>
      </c>
      <c r="E388" s="40">
        <v>214</v>
      </c>
      <c r="F388" s="132"/>
      <c r="G388" s="132"/>
    </row>
    <row r="389" spans="1:7" ht="17.25" customHeight="1">
      <c r="A389" s="60" t="s">
        <v>513</v>
      </c>
      <c r="B389" s="60">
        <v>10</v>
      </c>
      <c r="C389" s="232" t="s">
        <v>241</v>
      </c>
      <c r="D389" s="40" t="s">
        <v>514</v>
      </c>
      <c r="E389" s="60">
        <v>2045</v>
      </c>
      <c r="F389" s="132"/>
      <c r="G389" s="132"/>
    </row>
    <row r="390" spans="1:7" ht="17.25" customHeight="1">
      <c r="A390" s="60" t="s">
        <v>515</v>
      </c>
      <c r="B390" s="198">
        <v>9</v>
      </c>
      <c r="C390" s="106" t="s">
        <v>363</v>
      </c>
      <c r="D390" s="106" t="s">
        <v>516</v>
      </c>
      <c r="E390" s="198">
        <v>385</v>
      </c>
      <c r="F390" s="132"/>
      <c r="G390" s="132"/>
    </row>
    <row r="391" spans="1:7" ht="17.25" customHeight="1">
      <c r="A391" s="60" t="s">
        <v>517</v>
      </c>
      <c r="B391" s="198">
        <v>16</v>
      </c>
      <c r="C391" s="106" t="s">
        <v>524</v>
      </c>
      <c r="D391" s="106" t="s">
        <v>518</v>
      </c>
      <c r="E391" s="198">
        <v>972</v>
      </c>
      <c r="F391" s="132"/>
      <c r="G391" s="132"/>
    </row>
    <row r="392" spans="1:7" ht="17.25" customHeight="1">
      <c r="A392" s="60" t="s">
        <v>519</v>
      </c>
      <c r="B392" s="198">
        <v>5</v>
      </c>
      <c r="C392" s="106" t="s">
        <v>520</v>
      </c>
      <c r="D392" s="106" t="s">
        <v>521</v>
      </c>
      <c r="E392" s="198">
        <v>369</v>
      </c>
      <c r="F392" s="132"/>
      <c r="G392" s="132"/>
    </row>
    <row r="393" spans="1:7" ht="17.25" customHeight="1">
      <c r="A393" s="40"/>
      <c r="B393" s="230">
        <f>SUM(B387:B392)</f>
        <v>56</v>
      </c>
      <c r="C393" s="230"/>
      <c r="D393" s="230"/>
      <c r="E393" s="234">
        <f>SUM(E387:E392)</f>
        <v>4822</v>
      </c>
      <c r="F393" s="132"/>
      <c r="G393" s="132"/>
    </row>
    <row r="394" spans="1:7" ht="17.25" customHeight="1">
      <c r="A394" s="285" t="s">
        <v>229</v>
      </c>
      <c r="B394" s="286"/>
      <c r="C394" s="287"/>
      <c r="D394" s="230"/>
      <c r="E394" s="234"/>
      <c r="F394" s="132"/>
      <c r="G394" s="132"/>
    </row>
    <row r="395" spans="1:7" ht="17.25" customHeight="1">
      <c r="A395" s="60" t="s">
        <v>522</v>
      </c>
      <c r="B395" s="198">
        <v>6</v>
      </c>
      <c r="C395" s="198" t="s">
        <v>525</v>
      </c>
      <c r="D395" s="106" t="s">
        <v>523</v>
      </c>
      <c r="E395" s="198">
        <v>351.8</v>
      </c>
      <c r="F395" s="132"/>
      <c r="G395" s="132"/>
    </row>
    <row r="396" spans="1:7" ht="17.25" customHeight="1">
      <c r="A396" s="40"/>
      <c r="B396" s="230">
        <f>B395</f>
        <v>6</v>
      </c>
      <c r="C396" s="230"/>
      <c r="D396" s="230"/>
      <c r="E396" s="230">
        <f>E395</f>
        <v>351.8</v>
      </c>
      <c r="F396" s="132"/>
      <c r="G396" s="132"/>
    </row>
    <row r="397" spans="1:7" ht="17.25" customHeight="1">
      <c r="A397" s="230" t="s">
        <v>14</v>
      </c>
      <c r="B397" s="126">
        <f>B385+B393+B396</f>
        <v>102</v>
      </c>
      <c r="C397" s="126"/>
      <c r="D397" s="126"/>
      <c r="E397" s="126">
        <f>E385+E393+E396</f>
        <v>8028.95</v>
      </c>
      <c r="F397" s="132"/>
      <c r="G397" s="132"/>
    </row>
    <row r="398" spans="1:7" ht="17.25" customHeight="1">
      <c r="A398" s="234"/>
      <c r="B398" s="127"/>
      <c r="C398" s="128"/>
      <c r="D398" s="126"/>
      <c r="E398" s="126"/>
      <c r="F398" s="132"/>
      <c r="G398" s="132"/>
    </row>
    <row r="399" spans="1:7" ht="28.5" customHeight="1">
      <c r="A399" s="275" t="s">
        <v>526</v>
      </c>
      <c r="B399" s="283"/>
      <c r="C399" s="283"/>
      <c r="D399" s="283"/>
      <c r="E399" s="283"/>
      <c r="F399" s="132"/>
      <c r="G399" s="132"/>
    </row>
    <row r="400" spans="1:7" ht="24" customHeight="1">
      <c r="A400" s="40" t="s">
        <v>212</v>
      </c>
      <c r="B400" s="40" t="s">
        <v>213</v>
      </c>
      <c r="C400" s="40" t="s">
        <v>214</v>
      </c>
      <c r="D400" s="40" t="s">
        <v>215</v>
      </c>
      <c r="E400" s="39" t="s">
        <v>216</v>
      </c>
      <c r="F400" s="132"/>
      <c r="G400" s="132"/>
    </row>
    <row r="401" spans="1:7" ht="17.25" customHeight="1">
      <c r="A401" s="285" t="s">
        <v>223</v>
      </c>
      <c r="B401" s="286"/>
      <c r="C401" s="287"/>
      <c r="D401" s="40"/>
      <c r="E401" s="39"/>
      <c r="F401" s="132"/>
      <c r="G401" s="132"/>
    </row>
    <row r="402" spans="1:7" ht="17.25" customHeight="1">
      <c r="A402" s="60">
        <v>23108</v>
      </c>
      <c r="B402" s="60">
        <v>4</v>
      </c>
      <c r="C402" s="40" t="s">
        <v>225</v>
      </c>
      <c r="D402" s="40" t="s">
        <v>527</v>
      </c>
      <c r="E402" s="60">
        <v>334</v>
      </c>
      <c r="F402" s="132"/>
      <c r="G402" s="132"/>
    </row>
    <row r="403" spans="1:7" ht="17.25" customHeight="1">
      <c r="A403" s="40"/>
      <c r="B403" s="230">
        <f>SUM(B402:B402)</f>
        <v>4</v>
      </c>
      <c r="C403" s="230"/>
      <c r="D403" s="230"/>
      <c r="E403" s="230">
        <f>SUM(E402:E402)</f>
        <v>334</v>
      </c>
      <c r="F403" s="132"/>
      <c r="G403" s="132"/>
    </row>
    <row r="404" spans="1:7" ht="17.25" customHeight="1">
      <c r="A404" s="285" t="s">
        <v>217</v>
      </c>
      <c r="B404" s="286"/>
      <c r="C404" s="287"/>
      <c r="D404" s="40"/>
      <c r="E404" s="39"/>
      <c r="F404" s="132"/>
      <c r="G404" s="132"/>
    </row>
    <row r="405" spans="1:7" ht="17.25" customHeight="1">
      <c r="A405" s="60">
        <v>23110</v>
      </c>
      <c r="B405" s="60">
        <v>2</v>
      </c>
      <c r="C405" s="60" t="s">
        <v>224</v>
      </c>
      <c r="D405" s="60" t="s">
        <v>529</v>
      </c>
      <c r="E405" s="60">
        <v>108</v>
      </c>
      <c r="F405" s="132"/>
      <c r="G405" s="132"/>
    </row>
    <row r="406" spans="1:7" ht="17.25" customHeight="1">
      <c r="A406" s="40">
        <v>23111</v>
      </c>
      <c r="B406" s="40">
        <v>3</v>
      </c>
      <c r="C406" s="201" t="s">
        <v>241</v>
      </c>
      <c r="D406" s="40" t="s">
        <v>530</v>
      </c>
      <c r="E406" s="40">
        <v>590</v>
      </c>
      <c r="F406" s="132"/>
      <c r="G406" s="132"/>
    </row>
    <row r="407" spans="1:7" ht="17.25" customHeight="1">
      <c r="A407" s="40">
        <v>23112</v>
      </c>
      <c r="B407" s="40">
        <v>1</v>
      </c>
      <c r="C407" s="232" t="s">
        <v>245</v>
      </c>
      <c r="D407" s="40" t="s">
        <v>285</v>
      </c>
      <c r="E407" s="40">
        <v>290</v>
      </c>
      <c r="F407" s="132"/>
      <c r="G407" s="132"/>
    </row>
    <row r="408" spans="1:7" ht="17.25" customHeight="1">
      <c r="A408" s="40">
        <v>23113</v>
      </c>
      <c r="B408" s="40">
        <v>1</v>
      </c>
      <c r="C408" s="232" t="s">
        <v>531</v>
      </c>
      <c r="D408" s="40" t="s">
        <v>532</v>
      </c>
      <c r="E408" s="40">
        <v>430</v>
      </c>
      <c r="F408" s="132"/>
      <c r="G408" s="132"/>
    </row>
    <row r="409" spans="1:7" ht="17.25" customHeight="1">
      <c r="A409" s="40"/>
      <c r="B409" s="230">
        <f>SUM(B405:B408)</f>
        <v>7</v>
      </c>
      <c r="C409" s="230"/>
      <c r="D409" s="230"/>
      <c r="E409" s="230">
        <f>SUM(E405:E408)</f>
        <v>1418</v>
      </c>
      <c r="F409" s="132"/>
      <c r="G409" s="132"/>
    </row>
    <row r="410" spans="1:7" ht="17.25" customHeight="1">
      <c r="A410" s="230" t="s">
        <v>14</v>
      </c>
      <c r="B410" s="126">
        <f>B403+B409</f>
        <v>11</v>
      </c>
      <c r="C410" s="126"/>
      <c r="D410" s="126"/>
      <c r="E410" s="126">
        <f>E403+E409</f>
        <v>1752</v>
      </c>
      <c r="F410" s="132"/>
      <c r="G410" s="132"/>
    </row>
    <row r="411" spans="1:7" ht="17.25" customHeight="1">
      <c r="A411" s="234"/>
      <c r="B411" s="127"/>
      <c r="C411" s="128"/>
      <c r="D411" s="126"/>
      <c r="E411" s="126"/>
      <c r="F411" s="132"/>
      <c r="G411" s="132"/>
    </row>
    <row r="412" spans="1:7" ht="26.25" customHeight="1">
      <c r="A412" s="275" t="s">
        <v>540</v>
      </c>
      <c r="B412" s="283"/>
      <c r="C412" s="283"/>
      <c r="D412" s="283"/>
      <c r="E412" s="283"/>
      <c r="F412" s="132"/>
      <c r="G412" s="132"/>
    </row>
    <row r="413" spans="1:7" ht="25.5" customHeight="1">
      <c r="A413" s="40" t="s">
        <v>212</v>
      </c>
      <c r="B413" s="40" t="s">
        <v>213</v>
      </c>
      <c r="C413" s="40" t="s">
        <v>214</v>
      </c>
      <c r="D413" s="40" t="s">
        <v>215</v>
      </c>
      <c r="E413" s="39" t="s">
        <v>216</v>
      </c>
      <c r="F413" s="132"/>
      <c r="G413" s="132"/>
    </row>
    <row r="414" spans="1:7" ht="17.25" customHeight="1">
      <c r="A414" s="285" t="s">
        <v>223</v>
      </c>
      <c r="B414" s="286"/>
      <c r="C414" s="287"/>
      <c r="D414" s="40"/>
      <c r="E414" s="39"/>
      <c r="F414" s="132"/>
      <c r="G414" s="132"/>
    </row>
    <row r="415" spans="1:7" ht="17.25" customHeight="1">
      <c r="A415" s="60">
        <v>23109</v>
      </c>
      <c r="B415" s="60">
        <v>8</v>
      </c>
      <c r="C415" s="40" t="s">
        <v>228</v>
      </c>
      <c r="D415" s="40" t="s">
        <v>528</v>
      </c>
      <c r="E415" s="60">
        <v>894</v>
      </c>
      <c r="F415" s="132"/>
      <c r="G415" s="132"/>
    </row>
    <row r="416" spans="1:7" ht="17.25" customHeight="1">
      <c r="A416" s="40"/>
      <c r="B416" s="230">
        <f>SUM(B415:B415)</f>
        <v>8</v>
      </c>
      <c r="C416" s="230"/>
      <c r="D416" s="230"/>
      <c r="E416" s="230">
        <f>SUM(E415:E415)</f>
        <v>894</v>
      </c>
      <c r="F416" s="132"/>
      <c r="G416" s="132"/>
    </row>
    <row r="417" spans="1:7" ht="17.25" customHeight="1">
      <c r="A417" s="285" t="s">
        <v>217</v>
      </c>
      <c r="B417" s="286"/>
      <c r="C417" s="287"/>
      <c r="D417" s="40"/>
      <c r="E417" s="39"/>
      <c r="F417" s="132"/>
      <c r="G417" s="132"/>
    </row>
    <row r="418" spans="1:7" ht="17.25" customHeight="1">
      <c r="A418" s="60">
        <v>23114</v>
      </c>
      <c r="B418" s="60">
        <v>2</v>
      </c>
      <c r="C418" s="40" t="s">
        <v>228</v>
      </c>
      <c r="D418" s="40" t="s">
        <v>533</v>
      </c>
      <c r="E418" s="60">
        <v>147</v>
      </c>
      <c r="F418" s="132"/>
      <c r="G418" s="132"/>
    </row>
    <row r="419" spans="1:7" ht="17.25" customHeight="1">
      <c r="A419" s="60">
        <v>23114</v>
      </c>
      <c r="B419" s="60">
        <v>1</v>
      </c>
      <c r="C419" s="232" t="s">
        <v>232</v>
      </c>
      <c r="D419" s="70" t="s">
        <v>534</v>
      </c>
      <c r="E419" s="40">
        <v>90</v>
      </c>
      <c r="F419" s="132"/>
      <c r="G419" s="132"/>
    </row>
    <row r="420" spans="1:7" ht="17.25" customHeight="1">
      <c r="A420" s="40"/>
      <c r="B420" s="230">
        <f>SUM(B418:B419)</f>
        <v>3</v>
      </c>
      <c r="C420" s="230"/>
      <c r="D420" s="230"/>
      <c r="E420" s="230">
        <f>SUM(E418:E419)</f>
        <v>237</v>
      </c>
      <c r="F420" s="132"/>
      <c r="G420" s="132"/>
    </row>
    <row r="421" spans="1:7" ht="17.25" customHeight="1">
      <c r="A421" s="285" t="s">
        <v>230</v>
      </c>
      <c r="B421" s="286"/>
      <c r="C421" s="287"/>
      <c r="D421" s="230"/>
      <c r="E421" s="234"/>
      <c r="F421" s="132"/>
      <c r="G421" s="132"/>
    </row>
    <row r="422" spans="1:7" ht="17.25" customHeight="1">
      <c r="A422" s="42">
        <v>23139</v>
      </c>
      <c r="B422" s="60">
        <v>10</v>
      </c>
      <c r="C422" s="40" t="s">
        <v>218</v>
      </c>
      <c r="D422" s="70" t="s">
        <v>541</v>
      </c>
      <c r="E422" s="40">
        <v>675</v>
      </c>
      <c r="F422" s="132"/>
      <c r="G422" s="132"/>
    </row>
    <row r="423" spans="1:7" ht="17.25" customHeight="1">
      <c r="A423" s="40"/>
      <c r="B423" s="230">
        <f>B422</f>
        <v>10</v>
      </c>
      <c r="C423" s="230"/>
      <c r="D423" s="230"/>
      <c r="E423" s="230">
        <f>E422</f>
        <v>675</v>
      </c>
      <c r="F423" s="132"/>
      <c r="G423" s="132"/>
    </row>
    <row r="424" spans="1:7" ht="17.25" customHeight="1">
      <c r="A424" s="230" t="s">
        <v>14</v>
      </c>
      <c r="B424" s="126">
        <f>B416+B420+B423</f>
        <v>21</v>
      </c>
      <c r="C424" s="126"/>
      <c r="D424" s="126"/>
      <c r="E424" s="126">
        <f>E416+E420+E423</f>
        <v>1806</v>
      </c>
      <c r="F424" s="132"/>
      <c r="G424" s="132"/>
    </row>
    <row r="425" spans="1:7" ht="17.25" customHeight="1">
      <c r="A425" s="234"/>
      <c r="B425" s="127"/>
      <c r="C425" s="128"/>
      <c r="D425" s="126"/>
      <c r="E425" s="126"/>
      <c r="F425" s="132"/>
      <c r="G425" s="132"/>
    </row>
    <row r="426" spans="1:7" ht="33.75" customHeight="1">
      <c r="A426" s="275" t="s">
        <v>555</v>
      </c>
      <c r="B426" s="283"/>
      <c r="C426" s="283"/>
      <c r="D426" s="283"/>
      <c r="E426" s="283"/>
      <c r="F426" s="132"/>
      <c r="G426" s="132"/>
    </row>
    <row r="427" spans="1:7" ht="23.25" customHeight="1">
      <c r="A427" s="40" t="s">
        <v>212</v>
      </c>
      <c r="B427" s="40" t="s">
        <v>213</v>
      </c>
      <c r="C427" s="40" t="s">
        <v>214</v>
      </c>
      <c r="D427" s="40" t="s">
        <v>215</v>
      </c>
      <c r="E427" s="39" t="s">
        <v>216</v>
      </c>
      <c r="F427" s="132"/>
      <c r="G427" s="132"/>
    </row>
    <row r="428" spans="1:7" ht="17.25" customHeight="1">
      <c r="A428" s="285" t="s">
        <v>223</v>
      </c>
      <c r="B428" s="286"/>
      <c r="C428" s="287"/>
      <c r="D428" s="40"/>
      <c r="E428" s="39"/>
      <c r="F428" s="132"/>
      <c r="G428" s="132"/>
    </row>
    <row r="429" spans="1:7" ht="17.25" customHeight="1">
      <c r="A429" s="70">
        <v>2</v>
      </c>
      <c r="B429" s="91">
        <v>2</v>
      </c>
      <c r="C429" s="60" t="s">
        <v>224</v>
      </c>
      <c r="D429" s="199" t="s">
        <v>547</v>
      </c>
      <c r="E429" s="70">
        <v>116</v>
      </c>
      <c r="F429" s="132"/>
      <c r="G429" s="132"/>
    </row>
    <row r="430" spans="1:7" ht="17.25" customHeight="1">
      <c r="A430" s="70">
        <v>3</v>
      </c>
      <c r="B430" s="60">
        <v>8</v>
      </c>
      <c r="C430" s="91" t="s">
        <v>225</v>
      </c>
      <c r="D430" s="60" t="s">
        <v>548</v>
      </c>
      <c r="E430" s="40">
        <v>646</v>
      </c>
      <c r="F430" s="132"/>
      <c r="G430" s="132"/>
    </row>
    <row r="431" spans="1:7" ht="17.25" customHeight="1">
      <c r="A431" s="70">
        <v>4</v>
      </c>
      <c r="B431" s="91">
        <v>12</v>
      </c>
      <c r="C431" s="60" t="s">
        <v>228</v>
      </c>
      <c r="D431" s="70" t="s">
        <v>549</v>
      </c>
      <c r="E431" s="70">
        <v>1335</v>
      </c>
      <c r="F431" s="132"/>
      <c r="G431" s="132"/>
    </row>
    <row r="432" spans="1:7" ht="17.25" customHeight="1">
      <c r="A432" s="70">
        <v>5</v>
      </c>
      <c r="B432" s="40">
        <v>2</v>
      </c>
      <c r="C432" s="232" t="s">
        <v>556</v>
      </c>
      <c r="D432" s="106" t="s">
        <v>550</v>
      </c>
      <c r="E432" s="198">
        <v>1300</v>
      </c>
      <c r="F432" s="132"/>
      <c r="G432" s="132"/>
    </row>
    <row r="433" spans="1:7" ht="17.25" customHeight="1">
      <c r="A433" s="70">
        <v>6</v>
      </c>
      <c r="B433" s="105">
        <v>2</v>
      </c>
      <c r="C433" s="109" t="s">
        <v>557</v>
      </c>
      <c r="D433" s="105" t="s">
        <v>551</v>
      </c>
      <c r="E433" s="105">
        <v>2000</v>
      </c>
      <c r="F433" s="132"/>
      <c r="G433" s="132"/>
    </row>
    <row r="434" spans="1:7" ht="17.25" customHeight="1">
      <c r="A434" s="40"/>
      <c r="B434" s="230">
        <f>SUM(B429:B433)</f>
        <v>26</v>
      </c>
      <c r="C434" s="230"/>
      <c r="D434" s="230"/>
      <c r="E434" s="230">
        <f>SUM(E429:E433)</f>
        <v>5397</v>
      </c>
      <c r="F434" s="132"/>
      <c r="G434" s="132"/>
    </row>
    <row r="435" spans="1:7" ht="17.25" customHeight="1">
      <c r="A435" s="285" t="s">
        <v>217</v>
      </c>
      <c r="B435" s="286"/>
      <c r="C435" s="287"/>
      <c r="D435" s="40"/>
      <c r="E435" s="39"/>
      <c r="F435" s="132"/>
      <c r="G435" s="132"/>
    </row>
    <row r="436" spans="1:7" ht="17.25" customHeight="1">
      <c r="A436" s="70">
        <v>7</v>
      </c>
      <c r="B436" s="60">
        <v>3</v>
      </c>
      <c r="C436" s="40" t="s">
        <v>224</v>
      </c>
      <c r="D436" s="70" t="s">
        <v>552</v>
      </c>
      <c r="E436" s="40">
        <v>150</v>
      </c>
      <c r="F436" s="132"/>
      <c r="G436" s="132"/>
    </row>
    <row r="437" spans="1:7" ht="17.25" customHeight="1">
      <c r="A437" s="40">
        <v>8</v>
      </c>
      <c r="B437" s="60">
        <v>11</v>
      </c>
      <c r="C437" s="133" t="s">
        <v>232</v>
      </c>
      <c r="D437" s="198" t="s">
        <v>683</v>
      </c>
      <c r="E437" s="40">
        <v>1229</v>
      </c>
      <c r="F437" s="132"/>
      <c r="G437" s="132"/>
    </row>
    <row r="438" spans="1:7" ht="17.25" customHeight="1">
      <c r="A438" s="40">
        <v>9</v>
      </c>
      <c r="B438" s="40">
        <v>6</v>
      </c>
      <c r="C438" s="133" t="s">
        <v>241</v>
      </c>
      <c r="D438" s="198" t="s">
        <v>684</v>
      </c>
      <c r="E438" s="40">
        <v>1229</v>
      </c>
      <c r="F438" s="132"/>
      <c r="G438" s="132"/>
    </row>
    <row r="439" spans="1:7" ht="17.25" customHeight="1">
      <c r="A439" s="140">
        <v>10</v>
      </c>
      <c r="B439" s="105">
        <v>9</v>
      </c>
      <c r="C439" s="109" t="s">
        <v>245</v>
      </c>
      <c r="D439" s="105" t="s">
        <v>554</v>
      </c>
      <c r="E439" s="105">
        <v>2357</v>
      </c>
      <c r="F439" s="132"/>
      <c r="G439" s="132"/>
    </row>
    <row r="440" spans="1:7" ht="17.25" customHeight="1">
      <c r="A440" s="40"/>
      <c r="B440" s="230">
        <f>SUM(B436:B439)</f>
        <v>29</v>
      </c>
      <c r="C440" s="230"/>
      <c r="D440" s="230"/>
      <c r="E440" s="230">
        <f>SUM(E436:E439)</f>
        <v>4965</v>
      </c>
      <c r="F440" s="132"/>
      <c r="G440" s="132"/>
    </row>
    <row r="441" spans="1:7" ht="17.25" customHeight="1">
      <c r="A441" s="285" t="s">
        <v>229</v>
      </c>
      <c r="B441" s="286"/>
      <c r="C441" s="287"/>
      <c r="D441" s="230"/>
      <c r="E441" s="234"/>
      <c r="F441" s="132"/>
      <c r="G441" s="132"/>
    </row>
    <row r="442" spans="1:7" ht="17.25" customHeight="1">
      <c r="A442" s="70">
        <v>1</v>
      </c>
      <c r="B442" s="91">
        <v>3</v>
      </c>
      <c r="C442" s="91" t="s">
        <v>225</v>
      </c>
      <c r="D442" s="70" t="s">
        <v>553</v>
      </c>
      <c r="E442" s="70">
        <v>186</v>
      </c>
      <c r="F442" s="132"/>
      <c r="G442" s="132"/>
    </row>
    <row r="443" spans="1:7" ht="17.25" customHeight="1">
      <c r="A443" s="40"/>
      <c r="B443" s="230">
        <f>B442</f>
        <v>3</v>
      </c>
      <c r="C443" s="230"/>
      <c r="D443" s="230"/>
      <c r="E443" s="230">
        <f>E442</f>
        <v>186</v>
      </c>
      <c r="F443" s="132"/>
      <c r="G443" s="132"/>
    </row>
    <row r="444" spans="1:7" ht="17.25" customHeight="1">
      <c r="A444" s="230" t="s">
        <v>14</v>
      </c>
      <c r="B444" s="126">
        <f>B434+B440+B443</f>
        <v>58</v>
      </c>
      <c r="C444" s="126"/>
      <c r="D444" s="126"/>
      <c r="E444" s="126">
        <f>E434+E440+E443</f>
        <v>10548</v>
      </c>
      <c r="F444" s="126"/>
      <c r="G444" s="126"/>
    </row>
    <row r="445" spans="1:7" ht="17.25" customHeight="1">
      <c r="A445" s="234"/>
      <c r="B445" s="127"/>
      <c r="C445" s="128"/>
      <c r="D445" s="126"/>
      <c r="E445" s="126"/>
      <c r="F445" s="132"/>
      <c r="G445" s="132"/>
    </row>
    <row r="446" spans="1:7" ht="31.5" customHeight="1">
      <c r="A446" s="275" t="s">
        <v>569</v>
      </c>
      <c r="B446" s="283"/>
      <c r="C446" s="283"/>
      <c r="D446" s="283"/>
      <c r="E446" s="283"/>
      <c r="F446" s="132"/>
      <c r="G446" s="132"/>
    </row>
    <row r="447" spans="1:7" ht="24" customHeight="1">
      <c r="A447" s="40" t="s">
        <v>212</v>
      </c>
      <c r="B447" s="40" t="s">
        <v>213</v>
      </c>
      <c r="C447" s="40" t="s">
        <v>214</v>
      </c>
      <c r="D447" s="40" t="s">
        <v>215</v>
      </c>
      <c r="E447" s="39" t="s">
        <v>216</v>
      </c>
      <c r="F447" s="132"/>
      <c r="G447" s="132"/>
    </row>
    <row r="448" spans="1:7" ht="17.25" customHeight="1">
      <c r="A448" s="285" t="s">
        <v>223</v>
      </c>
      <c r="B448" s="286"/>
      <c r="C448" s="287"/>
      <c r="D448" s="40"/>
      <c r="E448" s="39"/>
      <c r="F448" s="132"/>
      <c r="G448" s="132"/>
    </row>
    <row r="449" spans="1:7" ht="17.25" customHeight="1">
      <c r="A449" s="202" t="s">
        <v>558</v>
      </c>
      <c r="B449" s="203">
        <v>1</v>
      </c>
      <c r="C449" s="106" t="s">
        <v>225</v>
      </c>
      <c r="D449" s="203" t="s">
        <v>559</v>
      </c>
      <c r="E449" s="203">
        <v>85</v>
      </c>
      <c r="F449" s="132"/>
      <c r="G449" s="132"/>
    </row>
    <row r="450" spans="1:7" ht="17.25" customHeight="1">
      <c r="A450" s="106" t="s">
        <v>560</v>
      </c>
      <c r="B450" s="106">
        <v>2</v>
      </c>
      <c r="C450" s="106" t="s">
        <v>228</v>
      </c>
      <c r="D450" s="204" t="s">
        <v>561</v>
      </c>
      <c r="E450" s="106">
        <v>244</v>
      </c>
      <c r="F450" s="132"/>
      <c r="G450" s="132"/>
    </row>
    <row r="451" spans="1:7" ht="17.25" customHeight="1">
      <c r="A451" s="40"/>
      <c r="B451" s="230">
        <f>SUM(B449:B450)</f>
        <v>3</v>
      </c>
      <c r="C451" s="230"/>
      <c r="D451" s="230"/>
      <c r="E451" s="230">
        <f>SUM(E449:E450)</f>
        <v>329</v>
      </c>
      <c r="F451" s="132"/>
      <c r="G451" s="132"/>
    </row>
    <row r="452" spans="1:7" ht="17.25" customHeight="1">
      <c r="A452" s="285" t="s">
        <v>217</v>
      </c>
      <c r="B452" s="286"/>
      <c r="C452" s="287"/>
      <c r="D452" s="40"/>
      <c r="E452" s="39"/>
      <c r="F452" s="132"/>
      <c r="G452" s="132"/>
    </row>
    <row r="453" spans="1:7" ht="17.25" customHeight="1">
      <c r="A453" s="110" t="s">
        <v>562</v>
      </c>
      <c r="B453" s="60">
        <v>2</v>
      </c>
      <c r="C453" s="133" t="s">
        <v>232</v>
      </c>
      <c r="D453" s="70" t="s">
        <v>563</v>
      </c>
      <c r="E453" s="40">
        <v>234</v>
      </c>
      <c r="F453" s="132"/>
      <c r="G453" s="132"/>
    </row>
    <row r="454" spans="1:7" ht="17.25" customHeight="1">
      <c r="A454" s="110" t="s">
        <v>562</v>
      </c>
      <c r="B454" s="40">
        <v>2</v>
      </c>
      <c r="C454" s="232" t="s">
        <v>241</v>
      </c>
      <c r="D454" s="40" t="s">
        <v>564</v>
      </c>
      <c r="E454" s="40">
        <v>420</v>
      </c>
      <c r="F454" s="132"/>
      <c r="G454" s="132"/>
    </row>
    <row r="455" spans="1:7" ht="17.25" customHeight="1">
      <c r="A455" s="110" t="s">
        <v>562</v>
      </c>
      <c r="B455" s="40">
        <v>2</v>
      </c>
      <c r="C455" s="232" t="s">
        <v>565</v>
      </c>
      <c r="D455" s="40" t="s">
        <v>566</v>
      </c>
      <c r="E455" s="40">
        <v>555</v>
      </c>
      <c r="F455" s="132"/>
      <c r="G455" s="132"/>
    </row>
    <row r="456" spans="1:7" ht="17.25" customHeight="1">
      <c r="A456" s="205" t="s">
        <v>567</v>
      </c>
      <c r="B456" s="91">
        <v>2</v>
      </c>
      <c r="C456" s="70" t="s">
        <v>228</v>
      </c>
      <c r="D456" s="70" t="s">
        <v>568</v>
      </c>
      <c r="E456" s="70">
        <v>165</v>
      </c>
      <c r="F456" s="132"/>
      <c r="G456" s="132"/>
    </row>
    <row r="457" spans="1:7" ht="17.25" customHeight="1">
      <c r="A457" s="40"/>
      <c r="B457" s="230">
        <f>SUM(B453:B456)</f>
        <v>8</v>
      </c>
      <c r="C457" s="230"/>
      <c r="D457" s="230"/>
      <c r="E457" s="230">
        <f>SUM(E453:E456)</f>
        <v>1374</v>
      </c>
      <c r="F457" s="132"/>
      <c r="G457" s="132"/>
    </row>
    <row r="458" spans="1:7" ht="17.25" customHeight="1">
      <c r="A458" s="230" t="s">
        <v>14</v>
      </c>
      <c r="B458" s="126">
        <f>B451+B457</f>
        <v>11</v>
      </c>
      <c r="C458" s="126"/>
      <c r="D458" s="126"/>
      <c r="E458" s="126">
        <f>E451+E457</f>
        <v>1703</v>
      </c>
      <c r="F458" s="126"/>
      <c r="G458" s="126"/>
    </row>
    <row r="459" spans="1:7" ht="17.25" customHeight="1">
      <c r="A459" s="234"/>
      <c r="B459" s="127"/>
      <c r="C459" s="128"/>
      <c r="D459" s="126"/>
      <c r="E459" s="126"/>
      <c r="F459" s="212"/>
      <c r="G459" s="212"/>
    </row>
    <row r="460" spans="1:7" ht="27.75" customHeight="1">
      <c r="A460" s="275" t="s">
        <v>619</v>
      </c>
      <c r="B460" s="283"/>
      <c r="C460" s="283"/>
      <c r="D460" s="283"/>
      <c r="E460" s="283"/>
      <c r="F460" s="212"/>
      <c r="G460" s="212"/>
    </row>
    <row r="461" spans="1:7" ht="26.25" customHeight="1">
      <c r="A461" s="40" t="s">
        <v>212</v>
      </c>
      <c r="B461" s="40" t="s">
        <v>213</v>
      </c>
      <c r="C461" s="40" t="s">
        <v>214</v>
      </c>
      <c r="D461" s="40" t="s">
        <v>215</v>
      </c>
      <c r="E461" s="39" t="s">
        <v>216</v>
      </c>
      <c r="F461" s="212"/>
      <c r="G461" s="212"/>
    </row>
    <row r="462" spans="1:7" ht="17.25" customHeight="1">
      <c r="A462" s="285" t="s">
        <v>223</v>
      </c>
      <c r="B462" s="286"/>
      <c r="C462" s="287"/>
      <c r="D462" s="40"/>
      <c r="E462" s="39"/>
      <c r="F462" s="212"/>
      <c r="G462" s="212"/>
    </row>
    <row r="463" spans="1:7" ht="17.25" customHeight="1">
      <c r="A463" s="161">
        <v>1294</v>
      </c>
      <c r="B463" s="161">
        <v>2</v>
      </c>
      <c r="C463" s="161" t="s">
        <v>224</v>
      </c>
      <c r="D463" s="195" t="s">
        <v>584</v>
      </c>
      <c r="E463" s="161">
        <v>110</v>
      </c>
      <c r="F463" s="212"/>
      <c r="G463" s="212"/>
    </row>
    <row r="464" spans="1:7" ht="30" customHeight="1">
      <c r="A464" s="195">
        <v>1295</v>
      </c>
      <c r="B464" s="161">
        <v>18</v>
      </c>
      <c r="C464" s="161" t="s">
        <v>586</v>
      </c>
      <c r="D464" s="195" t="s">
        <v>585</v>
      </c>
      <c r="E464" s="195">
        <v>1398</v>
      </c>
      <c r="F464" s="212"/>
      <c r="G464" s="212"/>
    </row>
    <row r="465" spans="1:7" ht="17.25" customHeight="1">
      <c r="A465" s="40"/>
      <c r="B465" s="230">
        <f>SUM(B463:B464)</f>
        <v>20</v>
      </c>
      <c r="C465" s="230"/>
      <c r="D465" s="230"/>
      <c r="E465" s="230">
        <f>SUM(E463:E464)</f>
        <v>1508</v>
      </c>
      <c r="F465" s="212"/>
      <c r="G465" s="212"/>
    </row>
    <row r="466" spans="1:7" ht="17.25" customHeight="1">
      <c r="A466" s="285" t="s">
        <v>217</v>
      </c>
      <c r="B466" s="286"/>
      <c r="C466" s="287"/>
      <c r="D466" s="40"/>
      <c r="E466" s="39"/>
      <c r="F466" s="212"/>
      <c r="G466" s="212"/>
    </row>
    <row r="467" spans="1:7" ht="31.5" customHeight="1">
      <c r="A467" s="254">
        <v>1298</v>
      </c>
      <c r="B467" s="162">
        <v>28</v>
      </c>
      <c r="C467" s="163" t="s">
        <v>587</v>
      </c>
      <c r="D467" s="233" t="s">
        <v>589</v>
      </c>
      <c r="E467" s="167">
        <v>8400</v>
      </c>
      <c r="F467" s="212"/>
      <c r="G467" s="212"/>
    </row>
    <row r="468" spans="1:7" ht="17.25" customHeight="1">
      <c r="A468" s="255">
        <v>1299</v>
      </c>
      <c r="B468" s="161">
        <v>7</v>
      </c>
      <c r="C468" s="163" t="s">
        <v>588</v>
      </c>
      <c r="D468" s="233" t="s">
        <v>590</v>
      </c>
      <c r="E468" s="167">
        <v>3500</v>
      </c>
      <c r="F468" s="212"/>
      <c r="G468" s="212"/>
    </row>
    <row r="469" spans="1:7" ht="30.75" customHeight="1">
      <c r="A469" s="255">
        <v>1300</v>
      </c>
      <c r="B469" s="161">
        <v>9</v>
      </c>
      <c r="C469" s="213" t="s">
        <v>232</v>
      </c>
      <c r="D469" s="233" t="s">
        <v>591</v>
      </c>
      <c r="E469" s="167">
        <v>1120</v>
      </c>
      <c r="F469" s="212"/>
      <c r="G469" s="212"/>
    </row>
    <row r="470" spans="1:7" ht="27" customHeight="1">
      <c r="A470" s="255">
        <v>1301</v>
      </c>
      <c r="B470" s="161">
        <v>6</v>
      </c>
      <c r="C470" s="213" t="s">
        <v>241</v>
      </c>
      <c r="D470" s="233" t="s">
        <v>592</v>
      </c>
      <c r="E470" s="167">
        <v>1280</v>
      </c>
      <c r="F470" s="212"/>
      <c r="G470" s="212"/>
    </row>
    <row r="471" spans="1:7" ht="30" customHeight="1">
      <c r="A471" s="255">
        <v>1302</v>
      </c>
      <c r="B471" s="161">
        <v>8</v>
      </c>
      <c r="C471" s="213" t="s">
        <v>245</v>
      </c>
      <c r="D471" s="233" t="s">
        <v>593</v>
      </c>
      <c r="E471" s="167">
        <v>2175</v>
      </c>
      <c r="F471" s="212"/>
      <c r="G471" s="212"/>
    </row>
    <row r="472" spans="1:7" ht="17.25" customHeight="1">
      <c r="A472" s="254">
        <v>1296</v>
      </c>
      <c r="B472" s="162">
        <v>25</v>
      </c>
      <c r="C472" s="233" t="s">
        <v>218</v>
      </c>
      <c r="D472" s="165" t="s">
        <v>226</v>
      </c>
      <c r="E472" s="162">
        <v>1418</v>
      </c>
      <c r="F472" s="212"/>
      <c r="G472" s="212"/>
    </row>
    <row r="473" spans="1:7" ht="17.25" customHeight="1">
      <c r="A473" s="256">
        <v>1297</v>
      </c>
      <c r="B473" s="161">
        <v>11</v>
      </c>
      <c r="C473" s="233" t="s">
        <v>218</v>
      </c>
      <c r="D473" s="165" t="s">
        <v>479</v>
      </c>
      <c r="E473" s="161">
        <v>630</v>
      </c>
      <c r="F473" s="212"/>
      <c r="G473" s="212"/>
    </row>
    <row r="474" spans="1:7" ht="17.25" customHeight="1">
      <c r="A474" s="40"/>
      <c r="B474" s="230">
        <f>SUM(B467:B473)</f>
        <v>94</v>
      </c>
      <c r="C474" s="230"/>
      <c r="D474" s="230"/>
      <c r="E474" s="230">
        <f>SUM(E467:E473)</f>
        <v>18523</v>
      </c>
      <c r="F474" s="212"/>
      <c r="G474" s="212"/>
    </row>
    <row r="475" spans="1:7" ht="17.25" customHeight="1">
      <c r="A475" s="230" t="s">
        <v>14</v>
      </c>
      <c r="B475" s="126">
        <f>B465+B474</f>
        <v>114</v>
      </c>
      <c r="C475" s="126"/>
      <c r="D475" s="126"/>
      <c r="E475" s="126">
        <f>E465+E474</f>
        <v>20031</v>
      </c>
      <c r="F475" s="212"/>
      <c r="G475" s="212"/>
    </row>
    <row r="476" spans="1:7" ht="17.25" customHeight="1">
      <c r="A476" s="234"/>
      <c r="B476" s="127"/>
      <c r="C476" s="128"/>
      <c r="D476" s="126"/>
      <c r="E476" s="126"/>
      <c r="F476" s="212"/>
      <c r="G476" s="212"/>
    </row>
    <row r="477" spans="1:7" ht="28.5" customHeight="1">
      <c r="A477" s="275" t="s">
        <v>620</v>
      </c>
      <c r="B477" s="283"/>
      <c r="C477" s="283"/>
      <c r="D477" s="283"/>
      <c r="E477" s="283"/>
      <c r="F477" s="212"/>
      <c r="G477" s="212"/>
    </row>
    <row r="478" spans="1:7" ht="22.5" customHeight="1">
      <c r="A478" s="40" t="s">
        <v>212</v>
      </c>
      <c r="B478" s="40" t="s">
        <v>213</v>
      </c>
      <c r="C478" s="40" t="s">
        <v>214</v>
      </c>
      <c r="D478" s="40" t="s">
        <v>215</v>
      </c>
      <c r="E478" s="39" t="s">
        <v>216</v>
      </c>
      <c r="F478" s="212"/>
      <c r="G478" s="212"/>
    </row>
    <row r="479" spans="1:7" ht="17.25" customHeight="1">
      <c r="A479" s="285" t="s">
        <v>217</v>
      </c>
      <c r="B479" s="286"/>
      <c r="C479" s="287"/>
      <c r="D479" s="230"/>
      <c r="E479" s="234"/>
      <c r="F479" s="212"/>
      <c r="G479" s="212"/>
    </row>
    <row r="480" spans="1:7" ht="17.25" customHeight="1">
      <c r="A480" s="253">
        <v>116</v>
      </c>
      <c r="B480" s="214">
        <v>8</v>
      </c>
      <c r="C480" s="222" t="s">
        <v>443</v>
      </c>
      <c r="D480" s="215" t="s">
        <v>597</v>
      </c>
      <c r="E480" s="216">
        <v>904</v>
      </c>
      <c r="F480" s="212"/>
      <c r="G480" s="212"/>
    </row>
    <row r="481" spans="1:7" ht="35.25" customHeight="1">
      <c r="A481" s="252">
        <v>117</v>
      </c>
      <c r="B481" s="217">
        <v>23</v>
      </c>
      <c r="C481" s="221" t="s">
        <v>241</v>
      </c>
      <c r="D481" s="219" t="s">
        <v>594</v>
      </c>
      <c r="E481" s="220">
        <v>4905</v>
      </c>
      <c r="F481" s="212"/>
      <c r="G481" s="212"/>
    </row>
    <row r="482" spans="1:7" ht="17.25" customHeight="1">
      <c r="A482" s="252">
        <v>111</v>
      </c>
      <c r="B482" s="217">
        <v>25</v>
      </c>
      <c r="C482" s="218" t="s">
        <v>218</v>
      </c>
      <c r="D482" s="219" t="s">
        <v>226</v>
      </c>
      <c r="E482" s="220">
        <v>1122</v>
      </c>
      <c r="F482" s="212"/>
      <c r="G482" s="212"/>
    </row>
    <row r="483" spans="1:7" ht="17.25" customHeight="1">
      <c r="A483" s="217">
        <v>112</v>
      </c>
      <c r="B483" s="217">
        <v>16</v>
      </c>
      <c r="C483" s="218" t="s">
        <v>218</v>
      </c>
      <c r="D483" s="219" t="s">
        <v>595</v>
      </c>
      <c r="E483" s="218">
        <v>732</v>
      </c>
      <c r="F483" s="212"/>
      <c r="G483" s="212"/>
    </row>
    <row r="484" spans="1:7" ht="17.25" customHeight="1">
      <c r="A484" s="252">
        <v>113</v>
      </c>
      <c r="B484" s="217">
        <v>25</v>
      </c>
      <c r="C484" s="218" t="s">
        <v>218</v>
      </c>
      <c r="D484" s="219" t="s">
        <v>226</v>
      </c>
      <c r="E484" s="167">
        <v>1122</v>
      </c>
      <c r="F484" s="212"/>
      <c r="G484" s="212"/>
    </row>
    <row r="485" spans="1:7" ht="17.25" customHeight="1">
      <c r="A485" s="217">
        <v>114</v>
      </c>
      <c r="B485" s="217">
        <v>25</v>
      </c>
      <c r="C485" s="218" t="s">
        <v>218</v>
      </c>
      <c r="D485" s="219" t="s">
        <v>226</v>
      </c>
      <c r="E485" s="167">
        <v>1132</v>
      </c>
      <c r="F485" s="212"/>
      <c r="G485" s="212"/>
    </row>
    <row r="486" spans="1:7" ht="17.25" customHeight="1">
      <c r="A486" s="217">
        <v>115</v>
      </c>
      <c r="B486" s="217">
        <v>10</v>
      </c>
      <c r="C486" s="218" t="s">
        <v>218</v>
      </c>
      <c r="D486" s="219" t="s">
        <v>596</v>
      </c>
      <c r="E486" s="167">
        <v>449</v>
      </c>
      <c r="F486" s="212"/>
      <c r="G486" s="212"/>
    </row>
    <row r="487" spans="1:7" ht="17.25" customHeight="1">
      <c r="A487" s="217"/>
      <c r="B487" s="226">
        <f>SUM(B480:B486)</f>
        <v>132</v>
      </c>
      <c r="C487" s="226"/>
      <c r="D487" s="226"/>
      <c r="E487" s="226">
        <f>SUM(E480:E486)</f>
        <v>10366</v>
      </c>
      <c r="F487" s="212"/>
      <c r="G487" s="212"/>
    </row>
    <row r="488" spans="1:7" ht="17.25" customHeight="1">
      <c r="A488" s="230" t="s">
        <v>14</v>
      </c>
      <c r="B488" s="126">
        <f>SUM(B480:B486)</f>
        <v>132</v>
      </c>
      <c r="C488" s="126"/>
      <c r="D488" s="126"/>
      <c r="E488" s="126">
        <f>SUM(E480:E486)</f>
        <v>10366</v>
      </c>
      <c r="F488" s="212"/>
      <c r="G488" s="212"/>
    </row>
    <row r="489" spans="1:7" ht="17.25" customHeight="1">
      <c r="A489" s="234"/>
      <c r="B489" s="127"/>
      <c r="C489" s="128"/>
      <c r="D489" s="126"/>
      <c r="E489" s="126"/>
      <c r="F489" s="212"/>
      <c r="G489" s="212"/>
    </row>
    <row r="490" spans="1:7" ht="29.25" customHeight="1">
      <c r="A490" s="275" t="s">
        <v>676</v>
      </c>
      <c r="B490" s="283"/>
      <c r="C490" s="283"/>
      <c r="D490" s="283"/>
      <c r="E490" s="283"/>
      <c r="F490" s="212"/>
      <c r="G490" s="212"/>
    </row>
    <row r="491" spans="1:7" ht="25.5" customHeight="1">
      <c r="A491" s="40" t="s">
        <v>212</v>
      </c>
      <c r="B491" s="40" t="s">
        <v>213</v>
      </c>
      <c r="C491" s="40" t="s">
        <v>214</v>
      </c>
      <c r="D491" s="40" t="s">
        <v>215</v>
      </c>
      <c r="E491" s="39" t="s">
        <v>216</v>
      </c>
      <c r="F491" s="212"/>
      <c r="G491" s="212"/>
    </row>
    <row r="492" spans="1:7" ht="17.25" customHeight="1">
      <c r="A492" s="285" t="s">
        <v>223</v>
      </c>
      <c r="B492" s="286"/>
      <c r="C492" s="287"/>
      <c r="D492" s="40"/>
      <c r="E492" s="39"/>
      <c r="F492" s="212"/>
      <c r="G492" s="212"/>
    </row>
    <row r="493" spans="1:8" s="223" customFormat="1" ht="27" customHeight="1">
      <c r="A493" s="195">
        <v>1407</v>
      </c>
      <c r="B493" s="161">
        <v>25</v>
      </c>
      <c r="C493" s="161" t="s">
        <v>225</v>
      </c>
      <c r="D493" s="195" t="s">
        <v>598</v>
      </c>
      <c r="E493" s="195">
        <v>1889</v>
      </c>
      <c r="F493" s="212"/>
      <c r="G493" s="212"/>
      <c r="H493" s="100"/>
    </row>
    <row r="494" spans="1:8" s="223" customFormat="1" ht="46.5" customHeight="1">
      <c r="A494" s="195">
        <v>1408</v>
      </c>
      <c r="B494" s="161">
        <v>25</v>
      </c>
      <c r="C494" s="161" t="s">
        <v>225</v>
      </c>
      <c r="D494" s="195" t="s">
        <v>605</v>
      </c>
      <c r="E494" s="233">
        <v>1872</v>
      </c>
      <c r="F494" s="212"/>
      <c r="G494" s="212"/>
      <c r="H494" s="100"/>
    </row>
    <row r="495" spans="1:8" s="223" customFormat="1" ht="27" customHeight="1">
      <c r="A495" s="195">
        <v>1409</v>
      </c>
      <c r="B495" s="161">
        <v>25</v>
      </c>
      <c r="C495" s="161" t="s">
        <v>225</v>
      </c>
      <c r="D495" s="233" t="s">
        <v>599</v>
      </c>
      <c r="E495" s="233">
        <v>1911</v>
      </c>
      <c r="F495" s="212"/>
      <c r="G495" s="212"/>
      <c r="H495" s="100"/>
    </row>
    <row r="496" spans="1:8" s="223" customFormat="1" ht="27" customHeight="1">
      <c r="A496" s="195">
        <v>1410</v>
      </c>
      <c r="B496" s="161">
        <v>25</v>
      </c>
      <c r="C496" s="161" t="s">
        <v>225</v>
      </c>
      <c r="D496" s="233" t="s">
        <v>600</v>
      </c>
      <c r="E496" s="233">
        <v>1867</v>
      </c>
      <c r="F496" s="212"/>
      <c r="G496" s="212"/>
      <c r="H496" s="100"/>
    </row>
    <row r="497" spans="1:8" s="223" customFormat="1" ht="42.75" customHeight="1">
      <c r="A497" s="195">
        <v>1411</v>
      </c>
      <c r="B497" s="161">
        <v>25</v>
      </c>
      <c r="C497" s="161" t="s">
        <v>225</v>
      </c>
      <c r="D497" s="233" t="s">
        <v>601</v>
      </c>
      <c r="E497" s="233">
        <v>1867</v>
      </c>
      <c r="F497" s="212"/>
      <c r="G497" s="212"/>
      <c r="H497" s="100"/>
    </row>
    <row r="498" spans="1:8" s="223" customFormat="1" ht="27" customHeight="1">
      <c r="A498" s="195">
        <v>1412</v>
      </c>
      <c r="B498" s="161">
        <v>25</v>
      </c>
      <c r="C498" s="161" t="s">
        <v>225</v>
      </c>
      <c r="D498" s="233" t="s">
        <v>602</v>
      </c>
      <c r="E498" s="233">
        <v>1911</v>
      </c>
      <c r="F498" s="212"/>
      <c r="G498" s="212"/>
      <c r="H498" s="100"/>
    </row>
    <row r="499" spans="1:8" s="223" customFormat="1" ht="27" customHeight="1">
      <c r="A499" s="195">
        <v>1413</v>
      </c>
      <c r="B499" s="161">
        <v>13</v>
      </c>
      <c r="C499" s="161" t="s">
        <v>225</v>
      </c>
      <c r="D499" s="233" t="s">
        <v>603</v>
      </c>
      <c r="E499" s="233">
        <v>972</v>
      </c>
      <c r="F499" s="212"/>
      <c r="G499" s="212"/>
      <c r="H499" s="100"/>
    </row>
    <row r="500" spans="1:7" ht="17.25" customHeight="1">
      <c r="A500" s="40"/>
      <c r="B500" s="230">
        <f>SUM(B493:B499)</f>
        <v>163</v>
      </c>
      <c r="C500" s="230"/>
      <c r="D500" s="230"/>
      <c r="E500" s="230">
        <f>SUM(E493:E499)</f>
        <v>12289</v>
      </c>
      <c r="F500" s="212"/>
      <c r="G500" s="212"/>
    </row>
    <row r="501" spans="1:7" ht="17.25" customHeight="1">
      <c r="A501" s="285" t="s">
        <v>217</v>
      </c>
      <c r="B501" s="286"/>
      <c r="C501" s="287"/>
      <c r="D501" s="40"/>
      <c r="E501" s="39"/>
      <c r="F501" s="212"/>
      <c r="G501" s="212"/>
    </row>
    <row r="502" spans="1:7" ht="17.25" customHeight="1">
      <c r="A502" s="233">
        <v>1414</v>
      </c>
      <c r="B502" s="233">
        <v>15</v>
      </c>
      <c r="C502" s="163" t="s">
        <v>604</v>
      </c>
      <c r="D502" s="233" t="s">
        <v>606</v>
      </c>
      <c r="E502" s="233">
        <v>1648</v>
      </c>
      <c r="F502" s="212"/>
      <c r="G502" s="212"/>
    </row>
    <row r="503" spans="1:7" ht="17.25" customHeight="1">
      <c r="A503" s="40"/>
      <c r="B503" s="230">
        <f>SUM(B502:B502)</f>
        <v>15</v>
      </c>
      <c r="C503" s="230"/>
      <c r="D503" s="230"/>
      <c r="E503" s="230">
        <f>SUM(E502:E502)</f>
        <v>1648</v>
      </c>
      <c r="F503" s="212"/>
      <c r="G503" s="212"/>
    </row>
    <row r="504" spans="1:7" ht="17.25" customHeight="1">
      <c r="A504" s="230" t="s">
        <v>14</v>
      </c>
      <c r="B504" s="126">
        <f>B500+B503</f>
        <v>178</v>
      </c>
      <c r="C504" s="126"/>
      <c r="D504" s="126"/>
      <c r="E504" s="126">
        <f>E500+E503</f>
        <v>13937</v>
      </c>
      <c r="F504" s="212"/>
      <c r="G504" s="212"/>
    </row>
    <row r="505" spans="1:7" ht="17.25" customHeight="1">
      <c r="A505" s="234"/>
      <c r="B505" s="127"/>
      <c r="C505" s="128"/>
      <c r="D505" s="126"/>
      <c r="E505" s="126"/>
      <c r="F505" s="212"/>
      <c r="G505" s="212"/>
    </row>
    <row r="506" spans="1:7" ht="28.5" customHeight="1">
      <c r="A506" s="275" t="s">
        <v>621</v>
      </c>
      <c r="B506" s="283"/>
      <c r="C506" s="283"/>
      <c r="D506" s="283"/>
      <c r="E506" s="283"/>
      <c r="F506" s="212"/>
      <c r="G506" s="212"/>
    </row>
    <row r="507" spans="1:7" ht="24.75" customHeight="1">
      <c r="A507" s="40" t="s">
        <v>212</v>
      </c>
      <c r="B507" s="40" t="s">
        <v>213</v>
      </c>
      <c r="C507" s="40" t="s">
        <v>214</v>
      </c>
      <c r="D507" s="40" t="s">
        <v>215</v>
      </c>
      <c r="E507" s="39" t="s">
        <v>216</v>
      </c>
      <c r="F507" s="212"/>
      <c r="G507" s="212"/>
    </row>
    <row r="508" spans="1:7" ht="17.25" customHeight="1">
      <c r="A508" s="285" t="s">
        <v>223</v>
      </c>
      <c r="B508" s="286"/>
      <c r="C508" s="287"/>
      <c r="D508" s="40"/>
      <c r="E508" s="39"/>
      <c r="F508" s="212"/>
      <c r="G508" s="212"/>
    </row>
    <row r="509" spans="1:7" ht="17.25" customHeight="1">
      <c r="A509" s="195">
        <v>727</v>
      </c>
      <c r="B509" s="161">
        <v>9</v>
      </c>
      <c r="C509" s="162" t="s">
        <v>224</v>
      </c>
      <c r="D509" s="195" t="s">
        <v>607</v>
      </c>
      <c r="E509" s="195">
        <v>499</v>
      </c>
      <c r="F509" s="212"/>
      <c r="G509" s="212"/>
    </row>
    <row r="510" spans="1:7" ht="17.25" customHeight="1">
      <c r="A510" s="195">
        <v>728</v>
      </c>
      <c r="B510" s="162">
        <v>8</v>
      </c>
      <c r="C510" s="161" t="s">
        <v>225</v>
      </c>
      <c r="D510" s="195" t="s">
        <v>608</v>
      </c>
      <c r="E510" s="233">
        <v>668</v>
      </c>
      <c r="F510" s="212"/>
      <c r="G510" s="212"/>
    </row>
    <row r="511" spans="1:7" ht="17.25" customHeight="1">
      <c r="A511" s="195">
        <v>729</v>
      </c>
      <c r="B511" s="161">
        <v>4</v>
      </c>
      <c r="C511" s="162" t="s">
        <v>228</v>
      </c>
      <c r="D511" s="195" t="s">
        <v>609</v>
      </c>
      <c r="E511" s="195">
        <v>406</v>
      </c>
      <c r="F511" s="212"/>
      <c r="G511" s="212"/>
    </row>
    <row r="512" spans="1:7" ht="17.25" customHeight="1">
      <c r="A512" s="40"/>
      <c r="B512" s="230">
        <f>SUM(B509:B511)</f>
        <v>21</v>
      </c>
      <c r="C512" s="230"/>
      <c r="D512" s="230"/>
      <c r="E512" s="230">
        <f>SUM(E509:E511)</f>
        <v>1573</v>
      </c>
      <c r="F512" s="212"/>
      <c r="G512" s="212"/>
    </row>
    <row r="513" spans="1:7" ht="17.25" customHeight="1">
      <c r="A513" s="285" t="s">
        <v>217</v>
      </c>
      <c r="B513" s="286"/>
      <c r="C513" s="287"/>
      <c r="D513" s="40"/>
      <c r="E513" s="39"/>
      <c r="F513" s="212"/>
      <c r="G513" s="212"/>
    </row>
    <row r="514" spans="1:7" ht="17.25" customHeight="1">
      <c r="A514" s="195">
        <v>730</v>
      </c>
      <c r="B514" s="162">
        <v>1</v>
      </c>
      <c r="C514" s="233" t="s">
        <v>224</v>
      </c>
      <c r="D514" s="195" t="s">
        <v>616</v>
      </c>
      <c r="E514" s="233">
        <v>46</v>
      </c>
      <c r="F514" s="212"/>
      <c r="G514" s="212"/>
    </row>
    <row r="515" spans="1:7" ht="17.25" customHeight="1">
      <c r="A515" s="195">
        <v>731</v>
      </c>
      <c r="B515" s="162">
        <v>4</v>
      </c>
      <c r="C515" s="233" t="s">
        <v>224</v>
      </c>
      <c r="D515" s="195" t="s">
        <v>610</v>
      </c>
      <c r="E515" s="233">
        <v>200</v>
      </c>
      <c r="F515" s="212"/>
      <c r="G515" s="212"/>
    </row>
    <row r="516" spans="1:7" ht="17.25" customHeight="1">
      <c r="A516" s="195">
        <v>732</v>
      </c>
      <c r="B516" s="162">
        <v>2</v>
      </c>
      <c r="C516" s="164" t="s">
        <v>232</v>
      </c>
      <c r="D516" s="195" t="s">
        <v>611</v>
      </c>
      <c r="E516" s="233">
        <v>265</v>
      </c>
      <c r="F516" s="212"/>
      <c r="G516" s="212"/>
    </row>
    <row r="517" spans="1:7" ht="17.25" customHeight="1">
      <c r="A517" s="195">
        <v>733</v>
      </c>
      <c r="B517" s="233">
        <v>6</v>
      </c>
      <c r="C517" s="164" t="s">
        <v>241</v>
      </c>
      <c r="D517" s="233" t="s">
        <v>612</v>
      </c>
      <c r="E517" s="233">
        <v>1265</v>
      </c>
      <c r="F517" s="212"/>
      <c r="G517" s="212"/>
    </row>
    <row r="518" spans="1:7" ht="17.25" customHeight="1">
      <c r="A518" s="233">
        <v>734</v>
      </c>
      <c r="B518" s="233">
        <v>7</v>
      </c>
      <c r="C518" s="163" t="s">
        <v>245</v>
      </c>
      <c r="D518" s="233" t="s">
        <v>613</v>
      </c>
      <c r="E518" s="233">
        <v>1933</v>
      </c>
      <c r="F518" s="212"/>
      <c r="G518" s="212"/>
    </row>
    <row r="519" spans="1:7" ht="17.25" customHeight="1">
      <c r="A519" s="195">
        <v>735</v>
      </c>
      <c r="B519" s="233">
        <v>2</v>
      </c>
      <c r="C519" s="163" t="s">
        <v>455</v>
      </c>
      <c r="D519" s="233" t="s">
        <v>617</v>
      </c>
      <c r="E519" s="233">
        <v>602</v>
      </c>
      <c r="F519" s="212"/>
      <c r="G519" s="212"/>
    </row>
    <row r="520" spans="1:7" ht="16.5" customHeight="1">
      <c r="A520" s="195">
        <v>736</v>
      </c>
      <c r="B520" s="233">
        <v>20</v>
      </c>
      <c r="C520" s="163" t="s">
        <v>587</v>
      </c>
      <c r="D520" s="233" t="s">
        <v>618</v>
      </c>
      <c r="E520" s="233">
        <v>7476</v>
      </c>
      <c r="F520" s="212"/>
      <c r="G520" s="212"/>
    </row>
    <row r="521" spans="1:7" ht="17.25" customHeight="1">
      <c r="A521" s="40"/>
      <c r="B521" s="230">
        <f>SUM(B514:B520)</f>
        <v>42</v>
      </c>
      <c r="C521" s="230"/>
      <c r="D521" s="230"/>
      <c r="E521" s="230">
        <f>SUM(E514:E520)</f>
        <v>11787</v>
      </c>
      <c r="F521" s="212"/>
      <c r="G521" s="212"/>
    </row>
    <row r="522" spans="1:7" ht="17.25" customHeight="1">
      <c r="A522" s="285" t="s">
        <v>614</v>
      </c>
      <c r="B522" s="286"/>
      <c r="C522" s="287"/>
      <c r="D522" s="230"/>
      <c r="E522" s="230"/>
      <c r="F522" s="212"/>
      <c r="G522" s="212"/>
    </row>
    <row r="523" spans="1:7" ht="17.25" customHeight="1">
      <c r="A523" s="195">
        <v>726</v>
      </c>
      <c r="B523" s="161">
        <v>2</v>
      </c>
      <c r="C523" s="161" t="s">
        <v>225</v>
      </c>
      <c r="D523" s="195" t="s">
        <v>615</v>
      </c>
      <c r="E523" s="195">
        <v>120</v>
      </c>
      <c r="F523" s="212"/>
      <c r="G523" s="212"/>
    </row>
    <row r="524" spans="1:7" ht="17.25" customHeight="1">
      <c r="A524" s="40"/>
      <c r="B524" s="230">
        <f>B523</f>
        <v>2</v>
      </c>
      <c r="C524" s="230"/>
      <c r="D524" s="230"/>
      <c r="E524" s="230">
        <f>E523</f>
        <v>120</v>
      </c>
      <c r="F524" s="212"/>
      <c r="G524" s="212"/>
    </row>
    <row r="525" spans="1:7" ht="17.25" customHeight="1">
      <c r="A525" s="230" t="s">
        <v>14</v>
      </c>
      <c r="B525" s="126">
        <f>B512+B521+B524</f>
        <v>65</v>
      </c>
      <c r="C525" s="126"/>
      <c r="D525" s="126"/>
      <c r="E525" s="126">
        <f>E512+E521+E524</f>
        <v>13480</v>
      </c>
      <c r="F525" s="212"/>
      <c r="G525" s="212"/>
    </row>
    <row r="526" spans="1:7" ht="17.25" customHeight="1">
      <c r="A526" s="234"/>
      <c r="B526" s="127"/>
      <c r="C526" s="128"/>
      <c r="D526" s="126"/>
      <c r="E526" s="126"/>
      <c r="F526" s="212"/>
      <c r="G526" s="212"/>
    </row>
    <row r="527" spans="1:7" ht="26.25" customHeight="1">
      <c r="A527" s="275" t="s">
        <v>663</v>
      </c>
      <c r="B527" s="283"/>
      <c r="C527" s="283"/>
      <c r="D527" s="283"/>
      <c r="E527" s="283"/>
      <c r="F527" s="212"/>
      <c r="G527" s="212"/>
    </row>
    <row r="528" spans="1:7" ht="28.5" customHeight="1">
      <c r="A528" s="40" t="s">
        <v>212</v>
      </c>
      <c r="B528" s="40" t="s">
        <v>213</v>
      </c>
      <c r="C528" s="40" t="s">
        <v>214</v>
      </c>
      <c r="D528" s="40" t="s">
        <v>215</v>
      </c>
      <c r="E528" s="39" t="s">
        <v>216</v>
      </c>
      <c r="F528" s="212"/>
      <c r="G528" s="212"/>
    </row>
    <row r="529" spans="1:7" ht="17.25" customHeight="1">
      <c r="A529" s="285" t="s">
        <v>223</v>
      </c>
      <c r="B529" s="286"/>
      <c r="C529" s="287"/>
      <c r="D529" s="40"/>
      <c r="E529" s="39"/>
      <c r="F529" s="212"/>
      <c r="G529" s="212"/>
    </row>
    <row r="530" spans="1:7" ht="17.25" customHeight="1">
      <c r="A530" s="162" t="s">
        <v>626</v>
      </c>
      <c r="B530" s="162">
        <v>11</v>
      </c>
      <c r="C530" s="162" t="s">
        <v>224</v>
      </c>
      <c r="D530" s="165" t="s">
        <v>627</v>
      </c>
      <c r="E530" s="235">
        <v>653.7</v>
      </c>
      <c r="F530" s="212"/>
      <c r="G530" s="212"/>
    </row>
    <row r="531" spans="1:7" ht="17.25" customHeight="1">
      <c r="A531" s="162" t="s">
        <v>628</v>
      </c>
      <c r="B531" s="162">
        <v>3</v>
      </c>
      <c r="C531" s="162" t="s">
        <v>218</v>
      </c>
      <c r="D531" s="165" t="s">
        <v>629</v>
      </c>
      <c r="E531" s="235">
        <v>235.05</v>
      </c>
      <c r="F531" s="212"/>
      <c r="G531" s="212"/>
    </row>
    <row r="532" spans="1:7" ht="17.25" customHeight="1">
      <c r="A532" s="162" t="s">
        <v>630</v>
      </c>
      <c r="B532" s="162">
        <v>1</v>
      </c>
      <c r="C532" s="233" t="s">
        <v>635</v>
      </c>
      <c r="D532" s="165" t="s">
        <v>636</v>
      </c>
      <c r="E532" s="235">
        <v>50</v>
      </c>
      <c r="F532" s="212"/>
      <c r="G532" s="212"/>
    </row>
    <row r="533" spans="1:7" ht="17.25" customHeight="1">
      <c r="A533" s="40"/>
      <c r="B533" s="230">
        <f>SUM(B530:B532)</f>
        <v>15</v>
      </c>
      <c r="C533" s="230"/>
      <c r="D533" s="230"/>
      <c r="E533" s="230">
        <f>SUM(E530:E532)</f>
        <v>938.75</v>
      </c>
      <c r="F533" s="212"/>
      <c r="G533" s="212"/>
    </row>
    <row r="534" spans="1:7" ht="17.25" customHeight="1">
      <c r="A534" s="285" t="s">
        <v>217</v>
      </c>
      <c r="B534" s="286"/>
      <c r="C534" s="287"/>
      <c r="D534" s="40"/>
      <c r="E534" s="39"/>
      <c r="F534" s="212"/>
      <c r="G534" s="212"/>
    </row>
    <row r="535" spans="1:7" ht="17.25" customHeight="1">
      <c r="A535" s="162" t="s">
        <v>631</v>
      </c>
      <c r="B535" s="162">
        <v>5</v>
      </c>
      <c r="C535" s="233" t="s">
        <v>224</v>
      </c>
      <c r="D535" s="165" t="s">
        <v>632</v>
      </c>
      <c r="E535" s="235">
        <v>300</v>
      </c>
      <c r="F535" s="212"/>
      <c r="G535" s="212"/>
    </row>
    <row r="536" spans="1:7" ht="17.25" customHeight="1">
      <c r="A536" s="162" t="s">
        <v>633</v>
      </c>
      <c r="B536" s="162">
        <v>5</v>
      </c>
      <c r="C536" s="233" t="s">
        <v>640</v>
      </c>
      <c r="D536" s="165" t="s">
        <v>638</v>
      </c>
      <c r="E536" s="235">
        <v>304</v>
      </c>
      <c r="F536" s="212"/>
      <c r="G536" s="212"/>
    </row>
    <row r="537" spans="1:7" ht="17.25" customHeight="1">
      <c r="A537" s="162" t="s">
        <v>634</v>
      </c>
      <c r="B537" s="162">
        <v>4</v>
      </c>
      <c r="C537" s="233" t="s">
        <v>637</v>
      </c>
      <c r="D537" s="165" t="s">
        <v>639</v>
      </c>
      <c r="E537" s="235">
        <v>165</v>
      </c>
      <c r="F537" s="212"/>
      <c r="G537" s="212"/>
    </row>
    <row r="538" spans="1:7" ht="17.25" customHeight="1">
      <c r="A538" s="40"/>
      <c r="B538" s="230">
        <f>SUM(B535:B537)</f>
        <v>14</v>
      </c>
      <c r="C538" s="230"/>
      <c r="D538" s="230"/>
      <c r="E538" s="230">
        <f>SUM(E535:E537)</f>
        <v>769</v>
      </c>
      <c r="F538" s="212"/>
      <c r="G538" s="212"/>
    </row>
    <row r="539" spans="1:7" ht="17.25" customHeight="1">
      <c r="A539" s="230" t="s">
        <v>14</v>
      </c>
      <c r="B539" s="126">
        <f>B533+B538</f>
        <v>29</v>
      </c>
      <c r="C539" s="126"/>
      <c r="D539" s="126"/>
      <c r="E539" s="126">
        <f>E533+E538</f>
        <v>1707.75</v>
      </c>
      <c r="F539" s="212"/>
      <c r="G539" s="212"/>
    </row>
    <row r="540" spans="1:7" ht="17.25" customHeight="1">
      <c r="A540" s="234"/>
      <c r="B540" s="127"/>
      <c r="C540" s="128"/>
      <c r="D540" s="126"/>
      <c r="E540" s="126"/>
      <c r="F540" s="212"/>
      <c r="G540" s="212"/>
    </row>
    <row r="541" spans="1:7" ht="26.25" customHeight="1">
      <c r="A541" s="275" t="s">
        <v>664</v>
      </c>
      <c r="B541" s="283"/>
      <c r="C541" s="283"/>
      <c r="D541" s="283"/>
      <c r="E541" s="283"/>
      <c r="F541" s="212"/>
      <c r="G541" s="212"/>
    </row>
    <row r="542" spans="1:7" ht="26.25" customHeight="1">
      <c r="A542" s="40" t="s">
        <v>212</v>
      </c>
      <c r="B542" s="40" t="s">
        <v>213</v>
      </c>
      <c r="C542" s="40" t="s">
        <v>214</v>
      </c>
      <c r="D542" s="40" t="s">
        <v>215</v>
      </c>
      <c r="E542" s="39" t="s">
        <v>216</v>
      </c>
      <c r="F542" s="212"/>
      <c r="G542" s="212"/>
    </row>
    <row r="543" spans="1:7" ht="17.25" customHeight="1">
      <c r="A543" s="285" t="s">
        <v>223</v>
      </c>
      <c r="B543" s="286"/>
      <c r="C543" s="287"/>
      <c r="D543" s="40"/>
      <c r="E543" s="39"/>
      <c r="F543" s="212"/>
      <c r="G543" s="212"/>
    </row>
    <row r="544" spans="1:7" ht="17.25" customHeight="1">
      <c r="A544" s="251">
        <v>581</v>
      </c>
      <c r="B544" s="165">
        <v>1</v>
      </c>
      <c r="C544" s="165" t="s">
        <v>225</v>
      </c>
      <c r="D544" s="165" t="s">
        <v>641</v>
      </c>
      <c r="E544" s="165">
        <v>85</v>
      </c>
      <c r="F544" s="212"/>
      <c r="G544" s="212"/>
    </row>
    <row r="545" spans="1:7" ht="17.25" customHeight="1">
      <c r="A545" s="162">
        <v>583</v>
      </c>
      <c r="B545" s="235">
        <v>2</v>
      </c>
      <c r="C545" s="235" t="s">
        <v>228</v>
      </c>
      <c r="D545" s="165" t="s">
        <v>642</v>
      </c>
      <c r="E545" s="235">
        <v>223</v>
      </c>
      <c r="F545" s="212"/>
      <c r="G545" s="212"/>
    </row>
    <row r="546" spans="1:7" ht="17.25" customHeight="1">
      <c r="A546" s="40"/>
      <c r="B546" s="230">
        <f>SUM(B544:B545)</f>
        <v>3</v>
      </c>
      <c r="C546" s="230"/>
      <c r="D546" s="230"/>
      <c r="E546" s="230">
        <f>SUM(E544:E545)</f>
        <v>308</v>
      </c>
      <c r="F546" s="212"/>
      <c r="G546" s="212"/>
    </row>
    <row r="547" spans="1:7" ht="17.25" customHeight="1">
      <c r="A547" s="285" t="s">
        <v>217</v>
      </c>
      <c r="B547" s="286"/>
      <c r="C547" s="287"/>
      <c r="D547" s="40"/>
      <c r="E547" s="39"/>
      <c r="F547" s="212"/>
      <c r="G547" s="212"/>
    </row>
    <row r="548" spans="1:7" ht="17.25" customHeight="1">
      <c r="A548" s="162">
        <v>590</v>
      </c>
      <c r="B548" s="236">
        <v>3</v>
      </c>
      <c r="C548" s="237" t="s">
        <v>646</v>
      </c>
      <c r="D548" s="235" t="s">
        <v>643</v>
      </c>
      <c r="E548" s="235">
        <v>183</v>
      </c>
      <c r="F548" s="212"/>
      <c r="G548" s="212"/>
    </row>
    <row r="549" spans="1:7" ht="17.25" customHeight="1">
      <c r="A549" s="162">
        <v>584</v>
      </c>
      <c r="B549" s="235">
        <v>2</v>
      </c>
      <c r="C549" s="164" t="s">
        <v>245</v>
      </c>
      <c r="D549" s="165" t="s">
        <v>644</v>
      </c>
      <c r="E549" s="235">
        <v>555</v>
      </c>
      <c r="F549" s="212"/>
      <c r="G549" s="212"/>
    </row>
    <row r="550" spans="1:7" ht="17.25" customHeight="1">
      <c r="A550" s="162">
        <v>585</v>
      </c>
      <c r="B550" s="235">
        <v>10</v>
      </c>
      <c r="C550" s="164" t="s">
        <v>647</v>
      </c>
      <c r="D550" s="165" t="s">
        <v>652</v>
      </c>
      <c r="E550" s="235">
        <v>1500</v>
      </c>
      <c r="F550" s="212"/>
      <c r="G550" s="212"/>
    </row>
    <row r="551" spans="1:7" ht="17.25" customHeight="1">
      <c r="A551" s="162">
        <v>586</v>
      </c>
      <c r="B551" s="235">
        <v>20</v>
      </c>
      <c r="C551" s="164" t="s">
        <v>648</v>
      </c>
      <c r="D551" s="165" t="s">
        <v>653</v>
      </c>
      <c r="E551" s="235">
        <v>2100</v>
      </c>
      <c r="F551" s="212"/>
      <c r="G551" s="212"/>
    </row>
    <row r="552" spans="1:7" ht="17.25" customHeight="1">
      <c r="A552" s="162">
        <v>588</v>
      </c>
      <c r="B552" s="235">
        <v>12</v>
      </c>
      <c r="C552" s="164" t="s">
        <v>649</v>
      </c>
      <c r="D552" s="165" t="s">
        <v>654</v>
      </c>
      <c r="E552" s="235">
        <v>1260</v>
      </c>
      <c r="F552" s="212"/>
      <c r="G552" s="212"/>
    </row>
    <row r="553" spans="1:7" ht="17.25" customHeight="1">
      <c r="A553" s="162">
        <v>589</v>
      </c>
      <c r="B553" s="235">
        <v>4</v>
      </c>
      <c r="C553" s="164" t="s">
        <v>241</v>
      </c>
      <c r="D553" s="165" t="s">
        <v>645</v>
      </c>
      <c r="E553" s="235">
        <v>835</v>
      </c>
      <c r="F553" s="212"/>
      <c r="G553" s="212"/>
    </row>
    <row r="554" spans="1:7" ht="17.25" customHeight="1">
      <c r="A554" s="162">
        <v>579</v>
      </c>
      <c r="B554" s="235">
        <v>20</v>
      </c>
      <c r="C554" s="235" t="s">
        <v>225</v>
      </c>
      <c r="D554" s="235" t="s">
        <v>650</v>
      </c>
      <c r="E554" s="235">
        <v>1200</v>
      </c>
      <c r="F554" s="212"/>
      <c r="G554" s="212"/>
    </row>
    <row r="555" spans="1:7" ht="17.25" customHeight="1">
      <c r="A555" s="162">
        <v>580</v>
      </c>
      <c r="B555" s="235">
        <v>2</v>
      </c>
      <c r="C555" s="235" t="s">
        <v>225</v>
      </c>
      <c r="D555" s="235" t="s">
        <v>306</v>
      </c>
      <c r="E555" s="235">
        <v>120</v>
      </c>
      <c r="F555" s="212"/>
      <c r="G555" s="212"/>
    </row>
    <row r="556" spans="1:7" ht="17.25" customHeight="1">
      <c r="A556" s="233">
        <v>582</v>
      </c>
      <c r="B556" s="235">
        <v>4</v>
      </c>
      <c r="C556" s="237" t="s">
        <v>646</v>
      </c>
      <c r="D556" s="235" t="s">
        <v>651</v>
      </c>
      <c r="E556" s="235">
        <v>180</v>
      </c>
      <c r="F556" s="212"/>
      <c r="G556" s="212"/>
    </row>
    <row r="557" spans="1:7" ht="17.25" customHeight="1">
      <c r="A557" s="162">
        <v>591</v>
      </c>
      <c r="B557" s="235">
        <v>2</v>
      </c>
      <c r="C557" s="235" t="s">
        <v>228</v>
      </c>
      <c r="D557" s="235" t="s">
        <v>306</v>
      </c>
      <c r="E557" s="235">
        <v>158</v>
      </c>
      <c r="F557" s="212"/>
      <c r="G557" s="212"/>
    </row>
    <row r="558" spans="1:7" ht="17.25" customHeight="1">
      <c r="A558" s="40"/>
      <c r="B558" s="230">
        <f>SUM(B548:B557)</f>
        <v>79</v>
      </c>
      <c r="C558" s="230"/>
      <c r="D558" s="230"/>
      <c r="E558" s="230">
        <f>SUM(E548:E557)</f>
        <v>8091</v>
      </c>
      <c r="F558" s="212"/>
      <c r="G558" s="212"/>
    </row>
    <row r="559" spans="1:7" ht="17.25" customHeight="1">
      <c r="A559" s="285" t="s">
        <v>230</v>
      </c>
      <c r="B559" s="286"/>
      <c r="C559" s="287"/>
      <c r="D559" s="230"/>
      <c r="E559" s="230"/>
      <c r="F559" s="212"/>
      <c r="G559" s="212"/>
    </row>
    <row r="560" spans="1:7" ht="17.25" customHeight="1">
      <c r="A560" s="162">
        <v>587</v>
      </c>
      <c r="B560" s="235">
        <v>3</v>
      </c>
      <c r="C560" s="235" t="s">
        <v>225</v>
      </c>
      <c r="D560" s="235" t="s">
        <v>240</v>
      </c>
      <c r="E560" s="235">
        <v>120</v>
      </c>
      <c r="F560" s="212"/>
      <c r="G560" s="212"/>
    </row>
    <row r="561" spans="1:7" ht="17.25" customHeight="1">
      <c r="A561" s="40"/>
      <c r="B561" s="230">
        <f>B560</f>
        <v>3</v>
      </c>
      <c r="C561" s="230"/>
      <c r="D561" s="230"/>
      <c r="E561" s="230">
        <f>E560</f>
        <v>120</v>
      </c>
      <c r="F561" s="212"/>
      <c r="G561" s="212"/>
    </row>
    <row r="562" spans="1:7" ht="17.25" customHeight="1">
      <c r="A562" s="230" t="s">
        <v>14</v>
      </c>
      <c r="B562" s="126">
        <f>B546+B558+B561</f>
        <v>85</v>
      </c>
      <c r="C562" s="126"/>
      <c r="D562" s="126"/>
      <c r="E562" s="126">
        <f>E546+E558+E561</f>
        <v>8519</v>
      </c>
      <c r="F562" s="212"/>
      <c r="G562" s="212"/>
    </row>
    <row r="563" spans="1:7" ht="17.25" customHeight="1">
      <c r="A563" s="234"/>
      <c r="B563" s="127"/>
      <c r="C563" s="128"/>
      <c r="D563" s="126"/>
      <c r="E563" s="126"/>
      <c r="F563" s="212"/>
      <c r="G563" s="212"/>
    </row>
    <row r="564" spans="1:7" ht="29.25" customHeight="1">
      <c r="A564" s="275" t="s">
        <v>665</v>
      </c>
      <c r="B564" s="283"/>
      <c r="C564" s="283"/>
      <c r="D564" s="283"/>
      <c r="E564" s="283"/>
      <c r="F564" s="212"/>
      <c r="G564" s="212"/>
    </row>
    <row r="565" spans="1:7" ht="23.25" customHeight="1">
      <c r="A565" s="40" t="s">
        <v>212</v>
      </c>
      <c r="B565" s="40" t="s">
        <v>213</v>
      </c>
      <c r="C565" s="40" t="s">
        <v>214</v>
      </c>
      <c r="D565" s="40" t="s">
        <v>215</v>
      </c>
      <c r="E565" s="39" t="s">
        <v>216</v>
      </c>
      <c r="F565" s="212"/>
      <c r="G565" s="212"/>
    </row>
    <row r="566" spans="1:7" ht="17.25" customHeight="1">
      <c r="A566" s="285" t="s">
        <v>223</v>
      </c>
      <c r="B566" s="286"/>
      <c r="C566" s="287"/>
      <c r="D566" s="40"/>
      <c r="E566" s="39"/>
      <c r="F566" s="212"/>
      <c r="G566" s="212"/>
    </row>
    <row r="567" spans="1:7" ht="17.25" customHeight="1">
      <c r="A567" s="233">
        <v>909</v>
      </c>
      <c r="B567" s="162">
        <v>8</v>
      </c>
      <c r="C567" s="162" t="s">
        <v>225</v>
      </c>
      <c r="D567" s="233" t="s">
        <v>656</v>
      </c>
      <c r="E567" s="233">
        <v>638</v>
      </c>
      <c r="F567" s="212"/>
      <c r="G567" s="212"/>
    </row>
    <row r="568" spans="1:7" ht="17.25" customHeight="1">
      <c r="A568" s="233">
        <v>910</v>
      </c>
      <c r="B568" s="233">
        <v>5</v>
      </c>
      <c r="C568" s="233" t="s">
        <v>228</v>
      </c>
      <c r="D568" s="233" t="s">
        <v>657</v>
      </c>
      <c r="E568" s="233">
        <v>481</v>
      </c>
      <c r="F568" s="212"/>
      <c r="G568" s="212"/>
    </row>
    <row r="569" spans="1:7" ht="17.25" customHeight="1">
      <c r="A569" s="40"/>
      <c r="B569" s="230">
        <f>SUM(B567:B568)</f>
        <v>13</v>
      </c>
      <c r="C569" s="230"/>
      <c r="D569" s="230"/>
      <c r="E569" s="230">
        <f>SUM(E567:E568)</f>
        <v>1119</v>
      </c>
      <c r="F569" s="212"/>
      <c r="G569" s="212"/>
    </row>
    <row r="570" spans="1:7" ht="17.25" customHeight="1">
      <c r="A570" s="285" t="s">
        <v>217</v>
      </c>
      <c r="B570" s="286"/>
      <c r="C570" s="287"/>
      <c r="D570" s="40"/>
      <c r="E570" s="39"/>
      <c r="F570" s="212"/>
      <c r="G570" s="212"/>
    </row>
    <row r="571" spans="1:7" ht="17.25" customHeight="1">
      <c r="A571" s="233">
        <v>915</v>
      </c>
      <c r="B571" s="162">
        <v>4</v>
      </c>
      <c r="C571" s="164" t="s">
        <v>443</v>
      </c>
      <c r="D571" s="233" t="s">
        <v>658</v>
      </c>
      <c r="E571" s="233">
        <v>419</v>
      </c>
      <c r="F571" s="212"/>
      <c r="G571" s="212"/>
    </row>
    <row r="572" spans="1:7" ht="17.25" customHeight="1">
      <c r="A572" s="233">
        <v>916</v>
      </c>
      <c r="B572" s="162">
        <v>11</v>
      </c>
      <c r="C572" s="164" t="s">
        <v>232</v>
      </c>
      <c r="D572" s="233" t="s">
        <v>659</v>
      </c>
      <c r="E572" s="162">
        <v>1320</v>
      </c>
      <c r="F572" s="212"/>
      <c r="G572" s="212"/>
    </row>
    <row r="573" spans="1:7" ht="17.25" customHeight="1">
      <c r="A573" s="233">
        <v>917</v>
      </c>
      <c r="B573" s="233">
        <v>13</v>
      </c>
      <c r="C573" s="163" t="s">
        <v>241</v>
      </c>
      <c r="D573" s="233" t="s">
        <v>660</v>
      </c>
      <c r="E573" s="162">
        <v>2735</v>
      </c>
      <c r="F573" s="212"/>
      <c r="G573" s="212"/>
    </row>
    <row r="574" spans="1:7" ht="17.25" customHeight="1">
      <c r="A574" s="233">
        <v>918</v>
      </c>
      <c r="B574" s="162">
        <v>6</v>
      </c>
      <c r="C574" s="164" t="s">
        <v>245</v>
      </c>
      <c r="D574" s="195" t="s">
        <v>661</v>
      </c>
      <c r="E574" s="162">
        <v>1455</v>
      </c>
      <c r="F574" s="212"/>
      <c r="G574" s="212"/>
    </row>
    <row r="575" spans="1:7" ht="17.25" customHeight="1">
      <c r="A575" s="233">
        <v>911</v>
      </c>
      <c r="B575" s="162">
        <v>2</v>
      </c>
      <c r="C575" s="162" t="s">
        <v>224</v>
      </c>
      <c r="D575" s="165" t="s">
        <v>306</v>
      </c>
      <c r="E575" s="233">
        <v>106</v>
      </c>
      <c r="F575" s="212"/>
      <c r="G575" s="212"/>
    </row>
    <row r="576" spans="1:7" ht="17.25" customHeight="1">
      <c r="A576" s="233">
        <v>912</v>
      </c>
      <c r="B576" s="233">
        <v>16</v>
      </c>
      <c r="C576" s="233" t="s">
        <v>225</v>
      </c>
      <c r="D576" s="165" t="s">
        <v>682</v>
      </c>
      <c r="E576" s="233">
        <v>862</v>
      </c>
      <c r="F576" s="212"/>
      <c r="G576" s="212"/>
    </row>
    <row r="577" spans="1:7" ht="17.25" customHeight="1">
      <c r="A577" s="233">
        <v>913</v>
      </c>
      <c r="B577" s="233">
        <v>4</v>
      </c>
      <c r="C577" s="233" t="s">
        <v>228</v>
      </c>
      <c r="D577" s="165" t="s">
        <v>651</v>
      </c>
      <c r="E577" s="162">
        <v>332</v>
      </c>
      <c r="F577" s="212"/>
      <c r="G577" s="212"/>
    </row>
    <row r="578" spans="1:7" ht="17.25" customHeight="1">
      <c r="A578" s="233">
        <v>914</v>
      </c>
      <c r="B578" s="162">
        <v>6</v>
      </c>
      <c r="C578" s="164" t="s">
        <v>232</v>
      </c>
      <c r="D578" s="165" t="s">
        <v>662</v>
      </c>
      <c r="E578" s="162">
        <v>637</v>
      </c>
      <c r="F578" s="212"/>
      <c r="G578" s="212"/>
    </row>
    <row r="579" spans="1:7" ht="17.25" customHeight="1">
      <c r="A579" s="40"/>
      <c r="B579" s="230">
        <f>SUM(B571:B578)</f>
        <v>62</v>
      </c>
      <c r="C579" s="230"/>
      <c r="D579" s="230"/>
      <c r="E579" s="230">
        <f>SUM(E571:E578)</f>
        <v>7866</v>
      </c>
      <c r="F579" s="212"/>
      <c r="G579" s="212"/>
    </row>
    <row r="580" spans="1:7" ht="17.25" customHeight="1">
      <c r="A580" s="230" t="s">
        <v>14</v>
      </c>
      <c r="B580" s="126">
        <f>B569+B579</f>
        <v>75</v>
      </c>
      <c r="C580" s="126"/>
      <c r="D580" s="126"/>
      <c r="E580" s="126">
        <f>E569+E579</f>
        <v>8985</v>
      </c>
      <c r="F580" s="212"/>
      <c r="G580" s="212"/>
    </row>
    <row r="581" spans="1:8" ht="15" customHeight="1">
      <c r="A581" s="170"/>
      <c r="B581" s="127"/>
      <c r="C581" s="128"/>
      <c r="D581" s="126"/>
      <c r="E581" s="126"/>
      <c r="H581" s="1"/>
    </row>
    <row r="582" spans="1:8" ht="15" customHeight="1">
      <c r="A582" s="310" t="s">
        <v>22</v>
      </c>
      <c r="B582" s="311"/>
      <c r="C582" s="361"/>
      <c r="D582" s="8"/>
      <c r="E582" s="10"/>
      <c r="H582" s="1"/>
    </row>
    <row r="583" spans="1:8" ht="15" customHeight="1">
      <c r="A583" s="39"/>
      <c r="B583" s="130"/>
      <c r="C583" s="131"/>
      <c r="D583" s="43"/>
      <c r="E583" s="44">
        <f>SUM(E585:E588)</f>
        <v>5.5760000000000005</v>
      </c>
      <c r="H583" s="1"/>
    </row>
    <row r="584" spans="1:18" ht="15" customHeight="1">
      <c r="A584" s="40" t="s">
        <v>5</v>
      </c>
      <c r="B584" s="275" t="s">
        <v>17</v>
      </c>
      <c r="C584" s="276"/>
      <c r="D584" s="129" t="s">
        <v>18</v>
      </c>
      <c r="E584" s="40" t="s">
        <v>7</v>
      </c>
      <c r="G584" s="93" t="str">
        <f>CONCATENATE("Cable Scrap, Lying at ",B585,". Quantity in MT - ")</f>
        <v>Cable Scrap, Lying at CS Ferozepur. Quantity in MT - </v>
      </c>
      <c r="H584" s="274" t="str">
        <f ca="1">CONCATENATE(G584,G585,(INDIRECT(I585)),(INDIRECT(J585)),(INDIRECT(K585)),(INDIRECT(L585)),(INDIRECT(M585)),(INDIRECT(N585)),(INDIRECT(O585)),(INDIRECT(P585)),(INDIRECT(Q585)),(INDIRECT(R585)))</f>
        <v>Cable Scrap, Lying at CS Ferozepur. Quantity in MT - 2/core PVC Alumn. Cable scrap - 0.676, 4/core PVC Alumn. Cable scrap - 2.192, 1/ core XLPE Alu cable scrap - 0.136, 3/ core XLPE Alu cable scrap - 2.572, </v>
      </c>
      <c r="I584" s="98" t="str">
        <f aca="true" ca="1" t="array" ref="I584">CELL("address",INDEX(G584:G608,MATCH(TRUE,ISBLANK(G584:G608),0)))</f>
        <v>$G$589</v>
      </c>
      <c r="J584" s="98">
        <f aca="true" t="array" ref="J584">MATCH(TRUE,ISBLANK(G584:G608),0)</f>
        <v>6</v>
      </c>
      <c r="K584" s="98">
        <f>J584-3</f>
        <v>3</v>
      </c>
      <c r="L584" s="98"/>
      <c r="M584" s="98"/>
      <c r="N584" s="98"/>
      <c r="O584" s="98"/>
      <c r="P584" s="98"/>
      <c r="Q584" s="98"/>
      <c r="R584" s="98"/>
    </row>
    <row r="585" spans="1:18" ht="15" customHeight="1">
      <c r="A585" s="277" t="s">
        <v>35</v>
      </c>
      <c r="B585" s="277" t="s">
        <v>99</v>
      </c>
      <c r="C585" s="277"/>
      <c r="D585" s="45" t="s">
        <v>90</v>
      </c>
      <c r="E585" s="46">
        <v>0.676</v>
      </c>
      <c r="F585" s="98"/>
      <c r="G585" s="92" t="str">
        <f>CONCATENATE(D585," - ",E585,", ")</f>
        <v>2/core PVC Alumn. Cable scrap - 0.676, </v>
      </c>
      <c r="H585" s="274"/>
      <c r="I585" s="98" t="str">
        <f ca="1">IF(J584&gt;=3,(MID(I584,2,1)&amp;MID(I584,4,3)-K584),CELL("address",Z585))</f>
        <v>G586</v>
      </c>
      <c r="J585" s="98" t="str">
        <f ca="1">IF(J584&gt;=4,(MID(I585,1,1)&amp;MID(I585,2,3)+1),CELL("address",AA585))</f>
        <v>G587</v>
      </c>
      <c r="K585" s="98" t="str">
        <f ca="1">IF(J584&gt;=5,(MID(J585,1,1)&amp;MID(J585,2,3)+1),CELL("address",AB585))</f>
        <v>G588</v>
      </c>
      <c r="L585" s="98" t="str">
        <f ca="1">IF(J584&gt;=6,(MID(K585,1,1)&amp;MID(K585,2,3)+1),CELL("address",AC585))</f>
        <v>G589</v>
      </c>
      <c r="M585" s="98" t="str">
        <f ca="1">IF(J584&gt;=7,(MID(L585,1,1)&amp;MID(L585,2,3)+1),CELL("address",AD585))</f>
        <v>$AD$585</v>
      </c>
      <c r="N585" s="98" t="str">
        <f ca="1">IF(J584&gt;=8,(MID(M585,1,1)&amp;MID(M585,2,3)+1),CELL("address",AE585))</f>
        <v>$AE$585</v>
      </c>
      <c r="O585" s="98" t="str">
        <f ca="1">IF(J584&gt;=9,(MID(N585,1,1)&amp;MID(N585,2,3)+1),CELL("address",AF585))</f>
        <v>$AF$585</v>
      </c>
      <c r="P585" s="98" t="str">
        <f ca="1">IF(J584&gt;=10,(MID(O585,1,1)&amp;MID(O585,2,3)+1),CELL("address",AG585))</f>
        <v>$AG$585</v>
      </c>
      <c r="Q585" s="98" t="str">
        <f ca="1">IF(J584&gt;=11,(MID(P585,1,1)&amp;MID(P585,2,3)+1),CELL("address",AH585))</f>
        <v>$AH$585</v>
      </c>
      <c r="R585" s="98" t="str">
        <f ca="1">IF(J584&gt;=12,(MID(Q585,1,1)&amp;MID(Q585,2,3)+1),CELL("address",AI585))</f>
        <v>$AI$585</v>
      </c>
    </row>
    <row r="586" spans="1:15" ht="15" customHeight="1">
      <c r="A586" s="277"/>
      <c r="B586" s="277"/>
      <c r="C586" s="277"/>
      <c r="D586" s="45" t="s">
        <v>91</v>
      </c>
      <c r="E586" s="46">
        <v>2.192</v>
      </c>
      <c r="F586" s="98"/>
      <c r="G586" s="92" t="str">
        <f>CONCATENATE(D586," - ",E586,", ")</f>
        <v>4/core PVC Alumn. Cable scrap - 2.192, </v>
      </c>
      <c r="H586" s="98"/>
      <c r="I586" s="98" t="e">
        <f ca="1">IF(G585&gt;=6,(MID(H586,1,1)&amp;MID(H586,2,3)+1),CELL("address",Z586))</f>
        <v>#VALUE!</v>
      </c>
      <c r="J586" s="98" t="e">
        <f ca="1">IF(G585&gt;=7,(MID(I586,1,1)&amp;MID(I586,2,3)+1),CELL("address",AA586))</f>
        <v>#VALUE!</v>
      </c>
      <c r="K586" s="98" t="e">
        <f ca="1">IF(G585&gt;=8,(MID(J586,1,1)&amp;MID(J586,2,3)+1),CELL("address",AB586))</f>
        <v>#VALUE!</v>
      </c>
      <c r="L586" s="98" t="e">
        <f ca="1">IF(G585&gt;=9,(MID(K586,1,1)&amp;MID(K586,2,3)+1),CELL("address",AC586))</f>
        <v>#VALUE!</v>
      </c>
      <c r="M586" s="98" t="e">
        <f ca="1">IF(G585&gt;=10,(MID(L586,1,1)&amp;MID(L586,2,3)+1),CELL("address",AD586))</f>
        <v>#VALUE!</v>
      </c>
      <c r="N586" s="98" t="e">
        <f ca="1">IF(G585&gt;=11,(MID(M586,1,1)&amp;MID(M586,2,3)+1),CELL("address",AE586))</f>
        <v>#VALUE!</v>
      </c>
      <c r="O586" s="98" t="e">
        <f ca="1">IF(G585&gt;=12,(MID(N586,1,1)&amp;MID(N586,2,3)+1),CELL("address",AF586))</f>
        <v>#VALUE!</v>
      </c>
    </row>
    <row r="587" spans="1:8" ht="15" customHeight="1">
      <c r="A587" s="277"/>
      <c r="B587" s="277"/>
      <c r="C587" s="277"/>
      <c r="D587" s="45" t="s">
        <v>97</v>
      </c>
      <c r="E587" s="45">
        <v>0.136</v>
      </c>
      <c r="G587" s="92" t="str">
        <f>CONCATENATE(D587," - ",E587,", ")</f>
        <v>1/ core XLPE Alu cable scrap - 0.136, </v>
      </c>
      <c r="H587" s="1"/>
    </row>
    <row r="588" spans="1:8" ht="15" customHeight="1">
      <c r="A588" s="277"/>
      <c r="B588" s="277"/>
      <c r="C588" s="277"/>
      <c r="D588" s="45" t="s">
        <v>92</v>
      </c>
      <c r="E588" s="47">
        <v>2.572</v>
      </c>
      <c r="G588" s="92" t="str">
        <f>CONCATENATE(D588," - ",E588,", ")</f>
        <v>3/ core XLPE Alu cable scrap - 2.572, </v>
      </c>
      <c r="H588" s="1"/>
    </row>
    <row r="589" spans="1:8" ht="15" customHeight="1">
      <c r="A589" s="39"/>
      <c r="B589" s="48"/>
      <c r="C589" s="260"/>
      <c r="D589" s="34"/>
      <c r="E589" s="49"/>
      <c r="H589" s="1"/>
    </row>
    <row r="590" spans="1:8" ht="15" customHeight="1">
      <c r="A590" s="40"/>
      <c r="B590" s="289"/>
      <c r="C590" s="290"/>
      <c r="D590" s="267"/>
      <c r="E590" s="52">
        <f>SUM(E592:E595)</f>
        <v>3.0989999999999998</v>
      </c>
      <c r="H590" s="1"/>
    </row>
    <row r="591" spans="1:18" ht="15" customHeight="1">
      <c r="A591" s="40" t="s">
        <v>5</v>
      </c>
      <c r="B591" s="277" t="s">
        <v>17</v>
      </c>
      <c r="C591" s="277"/>
      <c r="D591" s="258" t="s">
        <v>18</v>
      </c>
      <c r="E591" s="40" t="s">
        <v>7</v>
      </c>
      <c r="G591" s="93" t="str">
        <f>CONCATENATE("Cable Scrap, Lying at ",B592,". Quantity in MT - ")</f>
        <v>Cable Scrap, Lying at OL Shri Muktsar Sahib. Quantity in MT - </v>
      </c>
      <c r="H591" s="274" t="str">
        <f ca="1">CONCATENATE(G591,G592,(INDIRECT(I592)),(INDIRECT(J592)),(INDIRECT(K592)),(INDIRECT(L592)),(INDIRECT(M592)),(INDIRECT(N592)),(INDIRECT(O592)),(INDIRECT(P592)),(INDIRECT(Q592)),(INDIRECT(R592)))</f>
        <v>Cable Scrap, Lying at OL Shri Muktsar Sahib. Quantity in MT - 4/core PVC Alumn. Cable scrap - 0.509, 3/ core XLPE Alu cable scrap - 1.96, 1/core PVC Alumn. Cable scrap - 0.141, 2/core PVC Alumn. Cable scrap - 0.489, </v>
      </c>
      <c r="I591" s="98" t="str">
        <f aca="true" ca="1" t="array" ref="I591">CELL("address",INDEX(G591:G615,MATCH(TRUE,ISBLANK(G591:G615),0)))</f>
        <v>$G$596</v>
      </c>
      <c r="J591" s="98">
        <f aca="true" t="array" ref="J591">MATCH(TRUE,ISBLANK(G591:G615),0)</f>
        <v>6</v>
      </c>
      <c r="K591" s="98">
        <f>J591-3</f>
        <v>3</v>
      </c>
      <c r="L591" s="98"/>
      <c r="M591" s="98"/>
      <c r="N591" s="98"/>
      <c r="O591" s="98"/>
      <c r="P591" s="98"/>
      <c r="Q591" s="98"/>
      <c r="R591" s="98"/>
    </row>
    <row r="592" spans="1:18" ht="15" customHeight="1">
      <c r="A592" s="300" t="s">
        <v>93</v>
      </c>
      <c r="B592" s="292" t="s">
        <v>146</v>
      </c>
      <c r="C592" s="293"/>
      <c r="D592" s="45" t="s">
        <v>91</v>
      </c>
      <c r="E592" s="46">
        <v>0.509</v>
      </c>
      <c r="F592" s="98"/>
      <c r="G592" s="92" t="str">
        <f>CONCATENATE(D592," - ",E592,", ")</f>
        <v>4/core PVC Alumn. Cable scrap - 0.509, </v>
      </c>
      <c r="H592" s="274"/>
      <c r="I592" s="98" t="str">
        <f ca="1">IF(J591&gt;=3,(MID(I591,2,1)&amp;MID(I591,4,3)-K591),CELL("address",Z592))</f>
        <v>G593</v>
      </c>
      <c r="J592" s="98" t="str">
        <f ca="1">IF(J591&gt;=4,(MID(I592,1,1)&amp;MID(I592,2,3)+1),CELL("address",AA592))</f>
        <v>G594</v>
      </c>
      <c r="K592" s="98" t="str">
        <f ca="1">IF(J591&gt;=5,(MID(J592,1,1)&amp;MID(J592,2,3)+1),CELL("address",AB592))</f>
        <v>G595</v>
      </c>
      <c r="L592" s="98" t="str">
        <f ca="1">IF(J591&gt;=6,(MID(K592,1,1)&amp;MID(K592,2,3)+1),CELL("address",AC592))</f>
        <v>G596</v>
      </c>
      <c r="M592" s="98" t="str">
        <f ca="1">IF(J591&gt;=7,(MID(L592,1,1)&amp;MID(L592,2,3)+1),CELL("address",AD592))</f>
        <v>$AD$592</v>
      </c>
      <c r="N592" s="98" t="str">
        <f ca="1">IF(J591&gt;=8,(MID(M592,1,1)&amp;MID(M592,2,3)+1),CELL("address",AE592))</f>
        <v>$AE$592</v>
      </c>
      <c r="O592" s="98" t="str">
        <f ca="1">IF(J591&gt;=9,(MID(N592,1,1)&amp;MID(N592,2,3)+1),CELL("address",AF592))</f>
        <v>$AF$592</v>
      </c>
      <c r="P592" s="98" t="str">
        <f ca="1">IF(J591&gt;=10,(MID(O592,1,1)&amp;MID(O592,2,3)+1),CELL("address",AG592))</f>
        <v>$AG$592</v>
      </c>
      <c r="Q592" s="98" t="str">
        <f ca="1">IF(J591&gt;=11,(MID(P592,1,1)&amp;MID(P592,2,3)+1),CELL("address",AH592))</f>
        <v>$AH$592</v>
      </c>
      <c r="R592" s="98" t="str">
        <f ca="1">IF(J591&gt;=12,(MID(Q592,1,1)&amp;MID(Q592,2,3)+1),CELL("address",AI592))</f>
        <v>$AI$592</v>
      </c>
    </row>
    <row r="593" spans="1:15" ht="15" customHeight="1">
      <c r="A593" s="359"/>
      <c r="B593" s="294"/>
      <c r="C593" s="295"/>
      <c r="D593" s="45" t="s">
        <v>92</v>
      </c>
      <c r="E593" s="46">
        <v>1.96</v>
      </c>
      <c r="F593" s="98"/>
      <c r="G593" s="92" t="str">
        <f>CONCATENATE(D593," - ",E593,", ")</f>
        <v>3/ core XLPE Alu cable scrap - 1.96, </v>
      </c>
      <c r="H593" s="98"/>
      <c r="I593" s="98" t="e">
        <f ca="1">IF(G592&gt;=6,(MID(H593,1,1)&amp;MID(H593,2,3)+1),CELL("address",Z593))</f>
        <v>#VALUE!</v>
      </c>
      <c r="J593" s="98" t="e">
        <f ca="1">IF(G592&gt;=7,(MID(I593,1,1)&amp;MID(I593,2,3)+1),CELL("address",AA593))</f>
        <v>#VALUE!</v>
      </c>
      <c r="K593" s="98" t="e">
        <f ca="1">IF(G592&gt;=8,(MID(J593,1,1)&amp;MID(J593,2,3)+1),CELL("address",AB593))</f>
        <v>#VALUE!</v>
      </c>
      <c r="L593" s="98" t="e">
        <f ca="1">IF(G592&gt;=9,(MID(K593,1,1)&amp;MID(K593,2,3)+1),CELL("address",AC593))</f>
        <v>#VALUE!</v>
      </c>
      <c r="M593" s="98" t="e">
        <f ca="1">IF(G592&gt;=10,(MID(L593,1,1)&amp;MID(L593,2,3)+1),CELL("address",AD593))</f>
        <v>#VALUE!</v>
      </c>
      <c r="N593" s="98" t="e">
        <f ca="1">IF(G592&gt;=11,(MID(M593,1,1)&amp;MID(M593,2,3)+1),CELL("address",AE593))</f>
        <v>#VALUE!</v>
      </c>
      <c r="O593" s="98" t="e">
        <f ca="1">IF(G592&gt;=12,(MID(N593,1,1)&amp;MID(N593,2,3)+1),CELL("address",AF593))</f>
        <v>#VALUE!</v>
      </c>
    </row>
    <row r="594" spans="1:8" ht="15" customHeight="1">
      <c r="A594" s="359"/>
      <c r="B594" s="294"/>
      <c r="C594" s="295"/>
      <c r="D594" s="45" t="s">
        <v>171</v>
      </c>
      <c r="E594" s="75">
        <v>0.141</v>
      </c>
      <c r="G594" s="92" t="str">
        <f>CONCATENATE(D594," - ",E594,", ")</f>
        <v>1/core PVC Alumn. Cable scrap - 0.141, </v>
      </c>
      <c r="H594" s="1"/>
    </row>
    <row r="595" spans="1:8" ht="15" customHeight="1">
      <c r="A595" s="360"/>
      <c r="B595" s="301"/>
      <c r="C595" s="302"/>
      <c r="D595" s="45" t="s">
        <v>90</v>
      </c>
      <c r="E595" s="75">
        <v>0.489</v>
      </c>
      <c r="G595" s="92" t="str">
        <f>CONCATENATE(D595," - ",E595,", ")</f>
        <v>2/core PVC Alumn. Cable scrap - 0.489, </v>
      </c>
      <c r="H595" s="1"/>
    </row>
    <row r="596" spans="1:8" ht="15" customHeight="1">
      <c r="A596" s="40"/>
      <c r="B596" s="289"/>
      <c r="C596" s="290"/>
      <c r="D596" s="71"/>
      <c r="E596" s="75"/>
      <c r="H596" s="1"/>
    </row>
    <row r="597" spans="1:8" ht="15" customHeight="1">
      <c r="A597" s="40"/>
      <c r="B597" s="289"/>
      <c r="C597" s="290"/>
      <c r="D597" s="270"/>
      <c r="E597" s="44">
        <f>SUM(E599:E602)</f>
        <v>2.7920000000000003</v>
      </c>
      <c r="H597" s="1"/>
    </row>
    <row r="598" spans="1:18" ht="15" customHeight="1">
      <c r="A598" s="40" t="s">
        <v>5</v>
      </c>
      <c r="B598" s="275" t="s">
        <v>17</v>
      </c>
      <c r="C598" s="276"/>
      <c r="D598" s="259" t="s">
        <v>18</v>
      </c>
      <c r="E598" s="40" t="s">
        <v>7</v>
      </c>
      <c r="G598" s="93" t="str">
        <f>CONCATENATE("Cable Scrap, Lying at ",B599,". Quantity in MT - ")</f>
        <v>Cable Scrap, Lying at OL Bhagta Bhai Ka. Quantity in MT - </v>
      </c>
      <c r="H598" s="274" t="str">
        <f ca="1">CONCATENATE(G598,G599,(INDIRECT(I599)),(INDIRECT(J599)),(INDIRECT(K599)),(INDIRECT(L599)),(INDIRECT(M599)),(INDIRECT(N599)),(INDIRECT(O599)),(INDIRECT(P599)),(INDIRECT(Q599)),(INDIRECT(R599)))</f>
        <v>Cable Scrap, Lying at OL Bhagta Bhai Ka. Quantity in MT - 4/core PVC Alumn. Cable scrap - 1.366, 2/core PVC Alumn. Cable scrap - 0.353, 3/ core XLPE Alu cable scrap - 0.671, ABC cable scrap (150 mm) - 0.402, </v>
      </c>
      <c r="I598" s="98" t="str">
        <f aca="true" ca="1" t="array" ref="I598">CELL("address",INDEX(G598:G622,MATCH(TRUE,ISBLANK(G598:G622),0)))</f>
        <v>$G$603</v>
      </c>
      <c r="J598" s="98">
        <f aca="true" t="array" ref="J598">MATCH(TRUE,ISBLANK(G598:G622),0)</f>
        <v>6</v>
      </c>
      <c r="K598" s="98">
        <f>J598-3</f>
        <v>3</v>
      </c>
      <c r="L598" s="98"/>
      <c r="M598" s="98"/>
      <c r="N598" s="98"/>
      <c r="O598" s="98"/>
      <c r="P598" s="98"/>
      <c r="Q598" s="98"/>
      <c r="R598" s="98"/>
    </row>
    <row r="599" spans="1:18" ht="15" customHeight="1">
      <c r="A599" s="277" t="s">
        <v>94</v>
      </c>
      <c r="B599" s="277" t="s">
        <v>100</v>
      </c>
      <c r="C599" s="277"/>
      <c r="D599" s="45" t="s">
        <v>91</v>
      </c>
      <c r="E599" s="46">
        <v>1.366</v>
      </c>
      <c r="F599" s="98"/>
      <c r="G599" s="92" t="str">
        <f>CONCATENATE(D599," - ",E599,", ")</f>
        <v>4/core PVC Alumn. Cable scrap - 1.366, </v>
      </c>
      <c r="H599" s="274"/>
      <c r="I599" s="98" t="str">
        <f ca="1">IF(J598&gt;=3,(MID(I598,2,1)&amp;MID(I598,4,3)-K598),CELL("address",Z599))</f>
        <v>G600</v>
      </c>
      <c r="J599" s="98" t="str">
        <f ca="1">IF(J598&gt;=4,(MID(I599,1,1)&amp;MID(I599,2,3)+1),CELL("address",AA599))</f>
        <v>G601</v>
      </c>
      <c r="K599" s="98" t="str">
        <f ca="1">IF(J598&gt;=5,(MID(J599,1,1)&amp;MID(J599,2,3)+1),CELL("address",AB599))</f>
        <v>G602</v>
      </c>
      <c r="L599" s="98" t="str">
        <f ca="1">IF(J598&gt;=6,(MID(K599,1,1)&amp;MID(K599,2,3)+1),CELL("address",AC599))</f>
        <v>G603</v>
      </c>
      <c r="M599" s="98" t="str">
        <f ca="1">IF(J598&gt;=7,(MID(L599,1,1)&amp;MID(L599,2,3)+1),CELL("address",AD599))</f>
        <v>$AD$599</v>
      </c>
      <c r="N599" s="98" t="str">
        <f ca="1">IF(J598&gt;=8,(MID(M599,1,1)&amp;MID(M599,2,3)+1),CELL("address",AE599))</f>
        <v>$AE$599</v>
      </c>
      <c r="O599" s="98" t="str">
        <f ca="1">IF(J598&gt;=9,(MID(N599,1,1)&amp;MID(N599,2,3)+1),CELL("address",AF599))</f>
        <v>$AF$599</v>
      </c>
      <c r="P599" s="98" t="str">
        <f ca="1">IF(J598&gt;=10,(MID(O599,1,1)&amp;MID(O599,2,3)+1),CELL("address",AG599))</f>
        <v>$AG$599</v>
      </c>
      <c r="Q599" s="98" t="str">
        <f ca="1">IF(J598&gt;=11,(MID(P599,1,1)&amp;MID(P599,2,3)+1),CELL("address",AH599))</f>
        <v>$AH$599</v>
      </c>
      <c r="R599" s="98" t="str">
        <f ca="1">IF(J598&gt;=12,(MID(Q599,1,1)&amp;MID(Q599,2,3)+1),CELL("address",AI599))</f>
        <v>$AI$599</v>
      </c>
    </row>
    <row r="600" spans="1:15" ht="15" customHeight="1">
      <c r="A600" s="277"/>
      <c r="B600" s="277"/>
      <c r="C600" s="277"/>
      <c r="D600" s="45" t="s">
        <v>90</v>
      </c>
      <c r="E600" s="75">
        <v>0.353</v>
      </c>
      <c r="F600" s="98"/>
      <c r="G600" s="92" t="str">
        <f>CONCATENATE(D600," - ",E600,", ")</f>
        <v>2/core PVC Alumn. Cable scrap - 0.353, </v>
      </c>
      <c r="H600" s="98"/>
      <c r="I600" s="98" t="e">
        <f ca="1">IF(G599&gt;=6,(MID(H600,1,1)&amp;MID(H600,2,3)+1),CELL("address",Z600))</f>
        <v>#VALUE!</v>
      </c>
      <c r="J600" s="98" t="e">
        <f ca="1">IF(G599&gt;=7,(MID(I600,1,1)&amp;MID(I600,2,3)+1),CELL("address",AA600))</f>
        <v>#VALUE!</v>
      </c>
      <c r="K600" s="98" t="e">
        <f ca="1">IF(G599&gt;=8,(MID(J600,1,1)&amp;MID(J600,2,3)+1),CELL("address",AB600))</f>
        <v>#VALUE!</v>
      </c>
      <c r="L600" s="98" t="e">
        <f ca="1">IF(G599&gt;=9,(MID(K600,1,1)&amp;MID(K600,2,3)+1),CELL("address",AC600))</f>
        <v>#VALUE!</v>
      </c>
      <c r="M600" s="98" t="e">
        <f ca="1">IF(G599&gt;=10,(MID(L600,1,1)&amp;MID(L600,2,3)+1),CELL("address",AD600))</f>
        <v>#VALUE!</v>
      </c>
      <c r="N600" s="98" t="e">
        <f ca="1">IF(G599&gt;=11,(MID(M600,1,1)&amp;MID(M600,2,3)+1),CELL("address",AE600))</f>
        <v>#VALUE!</v>
      </c>
      <c r="O600" s="98" t="e">
        <f ca="1">IF(G599&gt;=12,(MID(N600,1,1)&amp;MID(N600,2,3)+1),CELL("address",AF600))</f>
        <v>#VALUE!</v>
      </c>
    </row>
    <row r="601" spans="1:8" ht="15" customHeight="1">
      <c r="A601" s="277"/>
      <c r="B601" s="277"/>
      <c r="C601" s="277"/>
      <c r="D601" s="45" t="s">
        <v>92</v>
      </c>
      <c r="E601" s="75">
        <v>0.671</v>
      </c>
      <c r="G601" s="92" t="str">
        <f>CONCATENATE(D601," - ",E601,", ")</f>
        <v>3/ core XLPE Alu cable scrap - 0.671, </v>
      </c>
      <c r="H601" s="1"/>
    </row>
    <row r="602" spans="1:8" ht="15" customHeight="1">
      <c r="A602" s="277"/>
      <c r="B602" s="277"/>
      <c r="C602" s="277"/>
      <c r="D602" s="45" t="s">
        <v>247</v>
      </c>
      <c r="E602" s="75">
        <v>0.402</v>
      </c>
      <c r="G602" s="92" t="str">
        <f>CONCATENATE(D602," - ",E602,", ")</f>
        <v>ABC cable scrap (150 mm) - 0.402, </v>
      </c>
      <c r="H602" s="1"/>
    </row>
    <row r="603" spans="1:8" ht="15" customHeight="1">
      <c r="A603" s="39"/>
      <c r="B603" s="41"/>
      <c r="C603" s="42"/>
      <c r="D603" s="71"/>
      <c r="E603" s="75"/>
      <c r="H603" s="1"/>
    </row>
    <row r="604" spans="1:8" ht="15" customHeight="1">
      <c r="A604" s="40"/>
      <c r="B604" s="289"/>
      <c r="C604" s="290"/>
      <c r="D604" s="267"/>
      <c r="E604" s="52">
        <f>SUM(E606:E610)</f>
        <v>13.369</v>
      </c>
      <c r="H604" s="1"/>
    </row>
    <row r="605" spans="1:18" ht="15" customHeight="1">
      <c r="A605" s="40" t="s">
        <v>5</v>
      </c>
      <c r="B605" s="277" t="s">
        <v>17</v>
      </c>
      <c r="C605" s="277"/>
      <c r="D605" s="258" t="s">
        <v>18</v>
      </c>
      <c r="E605" s="40" t="s">
        <v>7</v>
      </c>
      <c r="G605" s="93" t="str">
        <f>CONCATENATE("Cable Scrap, Lying at ",B606,". Quantity in MT - ")</f>
        <v>Cable Scrap, Lying at CS Bathinda. Quantity in MT - </v>
      </c>
      <c r="H605" s="274" t="str">
        <f ca="1">CONCATENATE(G605,G606,(INDIRECT(I606)),(INDIRECT(J606)),(INDIRECT(K606)),(INDIRECT(L606)),(INDIRECT(M606)),(INDIRECT(N606)),(INDIRECT(O606)),(INDIRECT(P606)),(INDIRECT(Q606)),(INDIRECT(R606)))</f>
        <v>Cable Scrap, Lying at CS Bathinda. Quantity in MT - 2/core PVC Alumn. Cable scrap - 0.347, 4/core PVC Alumn. Cable scrap - 2.086, 1/ core XLPE Alu cable scrap - 0.143, 3/ core XLPE Alu cable scrap - 5.469, ABC cable scrap (70/95 mm) - 5.324, </v>
      </c>
      <c r="I605" s="98" t="str">
        <f aca="true" ca="1" t="array" ref="I605">CELL("address",INDEX(G605:G629,MATCH(TRUE,ISBLANK(G605:G629),0)))</f>
        <v>$G$611</v>
      </c>
      <c r="J605" s="98">
        <f aca="true" t="array" ref="J605">MATCH(TRUE,ISBLANK(G605:G629),0)</f>
        <v>7</v>
      </c>
      <c r="K605" s="98">
        <f>J605-3</f>
        <v>4</v>
      </c>
      <c r="L605" s="98"/>
      <c r="M605" s="98"/>
      <c r="N605" s="98"/>
      <c r="O605" s="98"/>
      <c r="P605" s="98"/>
      <c r="Q605" s="98"/>
      <c r="R605" s="98"/>
    </row>
    <row r="606" spans="1:18" ht="15" customHeight="1">
      <c r="A606" s="277" t="s">
        <v>96</v>
      </c>
      <c r="B606" s="277" t="s">
        <v>63</v>
      </c>
      <c r="C606" s="277"/>
      <c r="D606" s="45" t="s">
        <v>90</v>
      </c>
      <c r="E606" s="46">
        <v>0.347</v>
      </c>
      <c r="G606" s="92" t="str">
        <f>CONCATENATE(D606," - ",E606,", ")</f>
        <v>2/core PVC Alumn. Cable scrap - 0.347, </v>
      </c>
      <c r="H606" s="274"/>
      <c r="I606" s="98" t="str">
        <f ca="1">IF(J605&gt;=3,(MID(I605,2,1)&amp;MID(I605,4,3)-K605),CELL("address",Z606))</f>
        <v>G607</v>
      </c>
      <c r="J606" s="98" t="str">
        <f ca="1">IF(J605&gt;=4,(MID(I606,1,1)&amp;MID(I606,2,3)+1),CELL("address",AA606))</f>
        <v>G608</v>
      </c>
      <c r="K606" s="98" t="str">
        <f ca="1">IF(J605&gt;=5,(MID(J606,1,1)&amp;MID(J606,2,3)+1),CELL("address",AB606))</f>
        <v>G609</v>
      </c>
      <c r="L606" s="98" t="str">
        <f ca="1">IF(J605&gt;=6,(MID(K606,1,1)&amp;MID(K606,2,3)+1),CELL("address",AC606))</f>
        <v>G610</v>
      </c>
      <c r="M606" s="98" t="str">
        <f ca="1">IF(J605&gt;=7,(MID(L606,1,1)&amp;MID(L606,2,3)+1),CELL("address",AD606))</f>
        <v>G611</v>
      </c>
      <c r="N606" s="98" t="str">
        <f ca="1">IF(J605&gt;=8,(MID(M606,1,1)&amp;MID(M606,2,3)+1),CELL("address",AE606))</f>
        <v>$AE$606</v>
      </c>
      <c r="O606" s="98" t="str">
        <f ca="1">IF(J605&gt;=9,(MID(N606,1,1)&amp;MID(N606,2,3)+1),CELL("address",AF606))</f>
        <v>$AF$606</v>
      </c>
      <c r="P606" s="98" t="str">
        <f ca="1">IF(J605&gt;=10,(MID(O606,1,1)&amp;MID(O606,2,3)+1),CELL("address",AG606))</f>
        <v>$AG$606</v>
      </c>
      <c r="Q606" s="98" t="str">
        <f ca="1">IF(J605&gt;=11,(MID(P606,1,1)&amp;MID(P606,2,3)+1),CELL("address",AH606))</f>
        <v>$AH$606</v>
      </c>
      <c r="R606" s="98" t="str">
        <f ca="1">IF(J605&gt;=12,(MID(Q606,1,1)&amp;MID(Q606,2,3)+1),CELL("address",AI606))</f>
        <v>$AI$606</v>
      </c>
    </row>
    <row r="607" spans="1:15" ht="15" customHeight="1">
      <c r="A607" s="277"/>
      <c r="B607" s="277"/>
      <c r="C607" s="277"/>
      <c r="D607" s="45" t="s">
        <v>91</v>
      </c>
      <c r="E607" s="46">
        <v>2.086</v>
      </c>
      <c r="F607" s="98"/>
      <c r="G607" s="92" t="str">
        <f>CONCATENATE(D607," - ",E607,", ")</f>
        <v>4/core PVC Alumn. Cable scrap - 2.086, </v>
      </c>
      <c r="H607" s="98"/>
      <c r="I607" s="98"/>
      <c r="J607" s="98"/>
      <c r="K607" s="98"/>
      <c r="L607" s="98"/>
      <c r="M607" s="98"/>
      <c r="N607" s="98"/>
      <c r="O607" s="98"/>
    </row>
    <row r="608" spans="1:15" ht="15" customHeight="1">
      <c r="A608" s="277"/>
      <c r="B608" s="277"/>
      <c r="C608" s="277"/>
      <c r="D608" s="45" t="s">
        <v>97</v>
      </c>
      <c r="E608" s="47">
        <v>0.143</v>
      </c>
      <c r="F608" s="98"/>
      <c r="G608" s="92" t="str">
        <f>CONCATENATE(D608," - ",E608,", ")</f>
        <v>1/ core XLPE Alu cable scrap - 0.143, </v>
      </c>
      <c r="H608" s="98"/>
      <c r="I608" s="98" t="e">
        <f ca="1">IF(G607&gt;=6,(MID(H608,1,1)&amp;MID(H608,2,3)+1),CELL("address",Z608))</f>
        <v>#VALUE!</v>
      </c>
      <c r="J608" s="98" t="e">
        <f ca="1">IF(G607&gt;=7,(MID(I608,1,1)&amp;MID(I608,2,3)+1),CELL("address",AA608))</f>
        <v>#VALUE!</v>
      </c>
      <c r="K608" s="98" t="e">
        <f ca="1">IF(G607&gt;=8,(MID(J608,1,1)&amp;MID(J608,2,3)+1),CELL("address",AB608))</f>
        <v>#VALUE!</v>
      </c>
      <c r="L608" s="98" t="e">
        <f ca="1">IF(G607&gt;=9,(MID(K608,1,1)&amp;MID(K608,2,3)+1),CELL("address",AC608))</f>
        <v>#VALUE!</v>
      </c>
      <c r="M608" s="98" t="e">
        <f ca="1">IF(G607&gt;=10,(MID(L608,1,1)&amp;MID(L608,2,3)+1),CELL("address",AD608))</f>
        <v>#VALUE!</v>
      </c>
      <c r="N608" s="98" t="e">
        <f ca="1">IF(G607&gt;=11,(MID(M608,1,1)&amp;MID(M608,2,3)+1),CELL("address",AE608))</f>
        <v>#VALUE!</v>
      </c>
      <c r="O608" s="98" t="e">
        <f ca="1">IF(G607&gt;=12,(MID(N608,1,1)&amp;MID(N608,2,3)+1),CELL("address",AF608))</f>
        <v>#VALUE!</v>
      </c>
    </row>
    <row r="609" spans="1:8" ht="15" customHeight="1">
      <c r="A609" s="277"/>
      <c r="B609" s="277"/>
      <c r="C609" s="277"/>
      <c r="D609" s="45" t="s">
        <v>92</v>
      </c>
      <c r="E609" s="206">
        <v>5.469</v>
      </c>
      <c r="G609" s="92" t="str">
        <f>CONCATENATE(D609," - ",E609,", ")</f>
        <v>3/ core XLPE Alu cable scrap - 5.469, </v>
      </c>
      <c r="H609" s="1"/>
    </row>
    <row r="610" spans="1:8" ht="15" customHeight="1">
      <c r="A610" s="277"/>
      <c r="B610" s="277"/>
      <c r="C610" s="277"/>
      <c r="D610" s="45" t="s">
        <v>168</v>
      </c>
      <c r="E610" s="206">
        <v>5.324</v>
      </c>
      <c r="G610" s="92" t="str">
        <f>CONCATENATE(D610," - ",E610,", ")</f>
        <v>ABC cable scrap (70/95 mm) - 5.324, </v>
      </c>
      <c r="H610" s="1"/>
    </row>
    <row r="611" spans="1:8" ht="15" customHeight="1">
      <c r="A611" s="39"/>
      <c r="B611" s="41"/>
      <c r="C611" s="42"/>
      <c r="D611" s="76"/>
      <c r="E611" s="77"/>
      <c r="H611" s="1"/>
    </row>
    <row r="612" spans="1:8" ht="15" customHeight="1">
      <c r="A612" s="39"/>
      <c r="B612" s="268"/>
      <c r="C612" s="269"/>
      <c r="D612" s="270"/>
      <c r="E612" s="186">
        <f>SUM(E614:E617)</f>
        <v>4.52</v>
      </c>
      <c r="H612" s="1"/>
    </row>
    <row r="613" spans="1:18" ht="15" customHeight="1">
      <c r="A613" s="40" t="s">
        <v>5</v>
      </c>
      <c r="B613" s="275" t="s">
        <v>17</v>
      </c>
      <c r="C613" s="276"/>
      <c r="D613" s="259" t="s">
        <v>18</v>
      </c>
      <c r="E613" s="39" t="s">
        <v>7</v>
      </c>
      <c r="G613" s="93" t="str">
        <f>CONCATENATE("Cable Scrap, Lying at ",B614,". Quantity in MT - ")</f>
        <v>Cable Scrap, Lying at OL Mansa. Quantity in MT - </v>
      </c>
      <c r="H613" s="274" t="str">
        <f ca="1">CONCATENATE(G613,G614,(INDIRECT(I614)),(INDIRECT(J614)),(INDIRECT(K614)),(INDIRECT(L614)),(INDIRECT(M614)),(INDIRECT(N614)),(INDIRECT(O614)),(INDIRECT(P614)),(INDIRECT(Q614)),(INDIRECT(R614)))</f>
        <v>Cable Scrap, Lying at OL Mansa. Quantity in MT - 2/core PVC Alumn. Cable scrap - 0.667, 4/core PVC Alumn. Cable scrap - 1.882, 3/ core XLPE Alu cable scrap - 1.881, ABC cable scrap (70/95 mm) - 0.09, </v>
      </c>
      <c r="I613" s="98" t="str">
        <f aca="true" ca="1" t="array" ref="I613">CELL("address",INDEX(G613:G637,MATCH(TRUE,ISBLANK(G613:G637),0)))</f>
        <v>$G$618</v>
      </c>
      <c r="J613" s="98">
        <f aca="true" t="array" ref="J613">MATCH(TRUE,ISBLANK(G613:G637),0)</f>
        <v>6</v>
      </c>
      <c r="K613" s="98">
        <f>J613-3</f>
        <v>3</v>
      </c>
      <c r="L613" s="98"/>
      <c r="M613" s="98"/>
      <c r="N613" s="98"/>
      <c r="O613" s="98"/>
      <c r="P613" s="98"/>
      <c r="Q613" s="98"/>
      <c r="R613" s="98"/>
    </row>
    <row r="614" spans="1:18" ht="15" customHeight="1">
      <c r="A614" s="277" t="s">
        <v>189</v>
      </c>
      <c r="B614" s="277" t="s">
        <v>59</v>
      </c>
      <c r="C614" s="277"/>
      <c r="D614" s="45" t="s">
        <v>90</v>
      </c>
      <c r="E614" s="69">
        <v>0.667</v>
      </c>
      <c r="F614" s="98"/>
      <c r="G614" s="92" t="str">
        <f>CONCATENATE(D614," - ",E614,", ")</f>
        <v>2/core PVC Alumn. Cable scrap - 0.667, </v>
      </c>
      <c r="H614" s="274"/>
      <c r="I614" s="98" t="str">
        <f ca="1">IF(J613&gt;=3,(MID(I613,2,1)&amp;MID(I613,4,3)-K613),CELL("address",Z614))</f>
        <v>G615</v>
      </c>
      <c r="J614" s="98" t="str">
        <f ca="1">IF(J613&gt;=4,(MID(I614,1,1)&amp;MID(I614,2,3)+1),CELL("address",AA614))</f>
        <v>G616</v>
      </c>
      <c r="K614" s="98" t="str">
        <f ca="1">IF(J613&gt;=5,(MID(J614,1,1)&amp;MID(J614,2,3)+1),CELL("address",AB614))</f>
        <v>G617</v>
      </c>
      <c r="L614" s="98" t="str">
        <f ca="1">IF(J613&gt;=6,(MID(K614,1,1)&amp;MID(K614,2,3)+1),CELL("address",AC614))</f>
        <v>G618</v>
      </c>
      <c r="M614" s="98" t="str">
        <f ca="1">IF(J613&gt;=7,(MID(L614,1,1)&amp;MID(L614,2,3)+1),CELL("address",AD614))</f>
        <v>$AD$614</v>
      </c>
      <c r="N614" s="98" t="str">
        <f ca="1">IF(J613&gt;=8,(MID(M614,1,1)&amp;MID(M614,2,3)+1),CELL("address",AE614))</f>
        <v>$AE$614</v>
      </c>
      <c r="O614" s="98" t="str">
        <f ca="1">IF(J613&gt;=9,(MID(N614,1,1)&amp;MID(N614,2,3)+1),CELL("address",AF614))</f>
        <v>$AF$614</v>
      </c>
      <c r="P614" s="98" t="str">
        <f ca="1">IF(J613&gt;=10,(MID(O614,1,1)&amp;MID(O614,2,3)+1),CELL("address",AG614))</f>
        <v>$AG$614</v>
      </c>
      <c r="Q614" s="98" t="str">
        <f ca="1">IF(J613&gt;=11,(MID(P614,1,1)&amp;MID(P614,2,3)+1),CELL("address",AH614))</f>
        <v>$AH$614</v>
      </c>
      <c r="R614" s="98" t="str">
        <f ca="1">IF(J613&gt;=12,(MID(Q614,1,1)&amp;MID(Q614,2,3)+1),CELL("address",AI614))</f>
        <v>$AI$614</v>
      </c>
    </row>
    <row r="615" spans="1:15" ht="15" customHeight="1">
      <c r="A615" s="277"/>
      <c r="B615" s="277"/>
      <c r="C615" s="277"/>
      <c r="D615" s="45" t="s">
        <v>91</v>
      </c>
      <c r="E615" s="69">
        <v>1.882</v>
      </c>
      <c r="F615" s="98"/>
      <c r="G615" s="92" t="str">
        <f>CONCATENATE(D615," - ",E615,", ")</f>
        <v>4/core PVC Alumn. Cable scrap - 1.882, </v>
      </c>
      <c r="H615" s="98"/>
      <c r="I615" s="98" t="e">
        <f ca="1">IF(G614&gt;=6,(MID(H615,1,1)&amp;MID(H615,2,3)+1),CELL("address",Z615))</f>
        <v>#VALUE!</v>
      </c>
      <c r="J615" s="98" t="e">
        <f ca="1">IF(G614&gt;=7,(MID(I615,1,1)&amp;MID(I615,2,3)+1),CELL("address",AA615))</f>
        <v>#VALUE!</v>
      </c>
      <c r="K615" s="98" t="e">
        <f ca="1">IF(G614&gt;=8,(MID(J615,1,1)&amp;MID(J615,2,3)+1),CELL("address",AB615))</f>
        <v>#VALUE!</v>
      </c>
      <c r="L615" s="98" t="e">
        <f ca="1">IF(G614&gt;=9,(MID(K615,1,1)&amp;MID(K615,2,3)+1),CELL("address",AC615))</f>
        <v>#VALUE!</v>
      </c>
      <c r="M615" s="98" t="e">
        <f ca="1">IF(G614&gt;=10,(MID(L615,1,1)&amp;MID(L615,2,3)+1),CELL("address",AD615))</f>
        <v>#VALUE!</v>
      </c>
      <c r="N615" s="98" t="e">
        <f ca="1">IF(G614&gt;=11,(MID(M615,1,1)&amp;MID(M615,2,3)+1),CELL("address",AE615))</f>
        <v>#VALUE!</v>
      </c>
      <c r="O615" s="98" t="e">
        <f ca="1">IF(G614&gt;=12,(MID(N615,1,1)&amp;MID(N615,2,3)+1),CELL("address",AF615))</f>
        <v>#VALUE!</v>
      </c>
    </row>
    <row r="616" spans="1:8" ht="15" customHeight="1">
      <c r="A616" s="277"/>
      <c r="B616" s="277"/>
      <c r="C616" s="277"/>
      <c r="D616" s="45" t="s">
        <v>92</v>
      </c>
      <c r="E616" s="69">
        <v>1.881</v>
      </c>
      <c r="G616" s="92" t="str">
        <f>CONCATENATE(D616," - ",E616,", ")</f>
        <v>3/ core XLPE Alu cable scrap - 1.881, </v>
      </c>
      <c r="H616" s="1"/>
    </row>
    <row r="617" spans="1:8" ht="15" customHeight="1">
      <c r="A617" s="277"/>
      <c r="B617" s="277"/>
      <c r="C617" s="277"/>
      <c r="D617" s="45" t="s">
        <v>168</v>
      </c>
      <c r="E617" s="187">
        <v>0.09</v>
      </c>
      <c r="G617" s="92" t="str">
        <f>CONCATENATE(D617," - ",E617,", ")</f>
        <v>ABC cable scrap (70/95 mm) - 0.09, </v>
      </c>
      <c r="H617" s="1"/>
    </row>
    <row r="618" spans="1:8" ht="15" customHeight="1">
      <c r="A618" s="39"/>
      <c r="B618" s="41"/>
      <c r="C618" s="42"/>
      <c r="D618" s="76"/>
      <c r="E618" s="188"/>
      <c r="H618" s="1"/>
    </row>
    <row r="619" spans="1:8" ht="15" customHeight="1">
      <c r="A619" s="39"/>
      <c r="B619" s="268"/>
      <c r="C619" s="269"/>
      <c r="D619" s="270"/>
      <c r="E619" s="186">
        <f>SUM(E621:E624)</f>
        <v>8.555</v>
      </c>
      <c r="H619" s="1"/>
    </row>
    <row r="620" spans="1:18" ht="15" customHeight="1">
      <c r="A620" s="40" t="s">
        <v>5</v>
      </c>
      <c r="B620" s="275" t="s">
        <v>17</v>
      </c>
      <c r="C620" s="276"/>
      <c r="D620" s="259" t="s">
        <v>18</v>
      </c>
      <c r="E620" s="39" t="s">
        <v>7</v>
      </c>
      <c r="G620" s="93" t="str">
        <f>CONCATENATE("Cable Scrap, Lying at ",B621,". Quantity in MT - ")</f>
        <v>Cable Scrap, Lying at CS Kotkapura. Quantity in MT - </v>
      </c>
      <c r="H620" s="274" t="str">
        <f ca="1">CONCATENATE(G620,G621,(INDIRECT(I621)),(INDIRECT(J621)),(INDIRECT(K621)),(INDIRECT(L621)),(INDIRECT(M621)),(INDIRECT(N621)),(INDIRECT(O621)),(INDIRECT(P621)),(INDIRECT(Q621)),(INDIRECT(R621)))</f>
        <v>Cable Scrap, Lying at CS Kotkapura. Quantity in MT - 2/core PVC Alumn. Cable scrap - 1.324, 4/core PVC Alumn. Cable scrap - 2.291, 3/ core XLPE Alu cable scrap - 4.879, 1/ core XLPE Alu cable scrap - 0.061, </v>
      </c>
      <c r="I620" s="98" t="str">
        <f aca="true" ca="1" t="array" ref="I620">CELL("address",INDEX(G620:G644,MATCH(TRUE,ISBLANK(G620:G644),0)))</f>
        <v>$G$625</v>
      </c>
      <c r="J620" s="98">
        <f aca="true" t="array" ref="J620">MATCH(TRUE,ISBLANK(G620:G644),0)</f>
        <v>6</v>
      </c>
      <c r="K620" s="98">
        <f>J620-3</f>
        <v>3</v>
      </c>
      <c r="L620" s="98"/>
      <c r="M620" s="98"/>
      <c r="N620" s="98"/>
      <c r="O620" s="98"/>
      <c r="P620" s="98"/>
      <c r="Q620" s="98"/>
      <c r="R620" s="98"/>
    </row>
    <row r="621" spans="1:18" ht="15" customHeight="1">
      <c r="A621" s="277" t="s">
        <v>191</v>
      </c>
      <c r="B621" s="277" t="s">
        <v>43</v>
      </c>
      <c r="C621" s="277"/>
      <c r="D621" s="45" t="s">
        <v>90</v>
      </c>
      <c r="E621" s="69">
        <v>1.324</v>
      </c>
      <c r="F621" s="98"/>
      <c r="G621" s="92" t="str">
        <f>CONCATENATE(D621," - ",E621,", ")</f>
        <v>2/core PVC Alumn. Cable scrap - 1.324, </v>
      </c>
      <c r="H621" s="274"/>
      <c r="I621" s="98" t="str">
        <f ca="1">IF(J620&gt;=3,(MID(I620,2,1)&amp;MID(I620,4,3)-K620),CELL("address",Z621))</f>
        <v>G622</v>
      </c>
      <c r="J621" s="98" t="str">
        <f ca="1">IF(J620&gt;=4,(MID(I621,1,1)&amp;MID(I621,2,3)+1),CELL("address",AA621))</f>
        <v>G623</v>
      </c>
      <c r="K621" s="98" t="str">
        <f ca="1">IF(J620&gt;=5,(MID(J621,1,1)&amp;MID(J621,2,3)+1),CELL("address",AB621))</f>
        <v>G624</v>
      </c>
      <c r="L621" s="98" t="str">
        <f ca="1">IF(J620&gt;=6,(MID(K621,1,1)&amp;MID(K621,2,3)+1),CELL("address",AC621))</f>
        <v>G625</v>
      </c>
      <c r="M621" s="98" t="str">
        <f ca="1">IF(J620&gt;=7,(MID(L621,1,1)&amp;MID(L621,2,3)+1),CELL("address",AD621))</f>
        <v>$AD$621</v>
      </c>
      <c r="N621" s="98" t="str">
        <f ca="1">IF(J620&gt;=8,(MID(M621,1,1)&amp;MID(M621,2,3)+1),CELL("address",AE621))</f>
        <v>$AE$621</v>
      </c>
      <c r="O621" s="98" t="str">
        <f ca="1">IF(J620&gt;=9,(MID(N621,1,1)&amp;MID(N621,2,3)+1),CELL("address",AF621))</f>
        <v>$AF$621</v>
      </c>
      <c r="P621" s="98" t="str">
        <f ca="1">IF(J620&gt;=10,(MID(O621,1,1)&amp;MID(O621,2,3)+1),CELL("address",AG621))</f>
        <v>$AG$621</v>
      </c>
      <c r="Q621" s="98" t="str">
        <f ca="1">IF(J620&gt;=11,(MID(P621,1,1)&amp;MID(P621,2,3)+1),CELL("address",AH621))</f>
        <v>$AH$621</v>
      </c>
      <c r="R621" s="98" t="str">
        <f ca="1">IF(J620&gt;=12,(MID(Q621,1,1)&amp;MID(Q621,2,3)+1),CELL("address",AI621))</f>
        <v>$AI$621</v>
      </c>
    </row>
    <row r="622" spans="1:15" ht="15" customHeight="1">
      <c r="A622" s="277"/>
      <c r="B622" s="277"/>
      <c r="C622" s="277"/>
      <c r="D622" s="45" t="s">
        <v>91</v>
      </c>
      <c r="E622" s="69">
        <v>2.291</v>
      </c>
      <c r="F622" s="98"/>
      <c r="G622" s="92" t="str">
        <f>CONCATENATE(D622," - ",E622,", ")</f>
        <v>4/core PVC Alumn. Cable scrap - 2.291, </v>
      </c>
      <c r="H622" s="98"/>
      <c r="I622" s="98" t="e">
        <f ca="1">IF(G621&gt;=6,(MID(H622,1,1)&amp;MID(H622,2,3)+1),CELL("address",Z622))</f>
        <v>#VALUE!</v>
      </c>
      <c r="J622" s="98" t="e">
        <f ca="1">IF(G621&gt;=7,(MID(I622,1,1)&amp;MID(I622,2,3)+1),CELL("address",AA622))</f>
        <v>#VALUE!</v>
      </c>
      <c r="K622" s="98" t="e">
        <f ca="1">IF(G621&gt;=8,(MID(J622,1,1)&amp;MID(J622,2,3)+1),CELL("address",AB622))</f>
        <v>#VALUE!</v>
      </c>
      <c r="L622" s="98" t="e">
        <f ca="1">IF(G621&gt;=9,(MID(K622,1,1)&amp;MID(K622,2,3)+1),CELL("address",AC622))</f>
        <v>#VALUE!</v>
      </c>
      <c r="M622" s="98" t="e">
        <f ca="1">IF(G621&gt;=10,(MID(L622,1,1)&amp;MID(L622,2,3)+1),CELL("address",AD622))</f>
        <v>#VALUE!</v>
      </c>
      <c r="N622" s="98" t="e">
        <f ca="1">IF(G621&gt;=11,(MID(M622,1,1)&amp;MID(M622,2,3)+1),CELL("address",AE622))</f>
        <v>#VALUE!</v>
      </c>
      <c r="O622" s="98" t="e">
        <f ca="1">IF(G621&gt;=12,(MID(N622,1,1)&amp;MID(N622,2,3)+1),CELL("address",AF622))</f>
        <v>#VALUE!</v>
      </c>
    </row>
    <row r="623" spans="1:8" ht="15" customHeight="1">
      <c r="A623" s="277"/>
      <c r="B623" s="277"/>
      <c r="C623" s="277"/>
      <c r="D623" s="45" t="s">
        <v>92</v>
      </c>
      <c r="E623" s="120">
        <v>4.879</v>
      </c>
      <c r="G623" s="92" t="str">
        <f>CONCATENATE(D623," - ",E623,", ")</f>
        <v>3/ core XLPE Alu cable scrap - 4.879, </v>
      </c>
      <c r="H623" s="1"/>
    </row>
    <row r="624" spans="1:8" ht="15" customHeight="1">
      <c r="A624" s="277"/>
      <c r="B624" s="277"/>
      <c r="C624" s="277"/>
      <c r="D624" s="45" t="s">
        <v>97</v>
      </c>
      <c r="E624" s="120">
        <v>0.061</v>
      </c>
      <c r="G624" s="92" t="str">
        <f>CONCATENATE(D624," - ",E624,", ")</f>
        <v>1/ core XLPE Alu cable scrap - 0.061, </v>
      </c>
      <c r="H624" s="1"/>
    </row>
    <row r="625" spans="1:8" ht="15" customHeight="1">
      <c r="A625" s="39"/>
      <c r="B625" s="41"/>
      <c r="C625" s="42"/>
      <c r="D625" s="34"/>
      <c r="E625" s="171"/>
      <c r="H625" s="1"/>
    </row>
    <row r="626" spans="1:8" ht="15" customHeight="1">
      <c r="A626" s="39"/>
      <c r="B626" s="268"/>
      <c r="C626" s="269"/>
      <c r="D626" s="270"/>
      <c r="E626" s="186">
        <f>SUM(E628:E631)</f>
        <v>4.02</v>
      </c>
      <c r="H626" s="1"/>
    </row>
    <row r="627" spans="1:18" ht="15" customHeight="1">
      <c r="A627" s="40" t="s">
        <v>5</v>
      </c>
      <c r="B627" s="275" t="s">
        <v>17</v>
      </c>
      <c r="C627" s="276"/>
      <c r="D627" s="259" t="s">
        <v>18</v>
      </c>
      <c r="E627" s="39" t="s">
        <v>7</v>
      </c>
      <c r="G627" s="93" t="str">
        <f>CONCATENATE("Cable Scrap, Lying at ",B628,". Quantity in MT - ")</f>
        <v>Cable Scrap, Lying at OL Patran. Quantity in MT - </v>
      </c>
      <c r="H627" s="274" t="str">
        <f ca="1">CONCATENATE(G627,G628,(INDIRECT(I628)),(INDIRECT(J628)),(INDIRECT(K628)),(INDIRECT(L628)),(INDIRECT(M628)),(INDIRECT(N628)),(INDIRECT(O628)),(INDIRECT(P628)),(INDIRECT(Q628)),(INDIRECT(R628)))</f>
        <v>Cable Scrap, Lying at OL Patran. Quantity in MT - 2/core PVC Alumn. Cable scrap - 0.647, 4/core PVC Alumn. Cable scrap - 1.2, 3/ core XLPE Alu cable scrap - 1.908, ABC cable scrap (150 mm) - 0.265, </v>
      </c>
      <c r="I627" s="98" t="str">
        <f aca="true" ca="1" t="array" ref="I627">CELL("address",INDEX(G627:G651,MATCH(TRUE,ISBLANK(G627:G651),0)))</f>
        <v>$G$632</v>
      </c>
      <c r="J627" s="98">
        <f aca="true" t="array" ref="J627">MATCH(TRUE,ISBLANK(G627:G651),0)</f>
        <v>6</v>
      </c>
      <c r="K627" s="98">
        <f>J627-3</f>
        <v>3</v>
      </c>
      <c r="L627" s="98"/>
      <c r="M627" s="98"/>
      <c r="N627" s="98"/>
      <c r="O627" s="98"/>
      <c r="P627" s="98"/>
      <c r="Q627" s="98"/>
      <c r="R627" s="98"/>
    </row>
    <row r="628" spans="1:18" ht="15" customHeight="1">
      <c r="A628" s="277" t="s">
        <v>167</v>
      </c>
      <c r="B628" s="277" t="s">
        <v>102</v>
      </c>
      <c r="C628" s="277"/>
      <c r="D628" s="45" t="s">
        <v>90</v>
      </c>
      <c r="E628" s="69">
        <v>0.647</v>
      </c>
      <c r="F628" s="98"/>
      <c r="G628" s="92" t="str">
        <f>CONCATENATE(D628," - ",E628,", ")</f>
        <v>2/core PVC Alumn. Cable scrap - 0.647, </v>
      </c>
      <c r="H628" s="274"/>
      <c r="I628" s="98" t="str">
        <f ca="1">IF(J627&gt;=3,(MID(I627,2,1)&amp;MID(I627,4,3)-K627),CELL("address",Z628))</f>
        <v>G629</v>
      </c>
      <c r="J628" s="98" t="str">
        <f ca="1">IF(J627&gt;=4,(MID(I628,1,1)&amp;MID(I628,2,3)+1),CELL("address",AA628))</f>
        <v>G630</v>
      </c>
      <c r="K628" s="98" t="str">
        <f ca="1">IF(J627&gt;=5,(MID(J628,1,1)&amp;MID(J628,2,3)+1),CELL("address",AB628))</f>
        <v>G631</v>
      </c>
      <c r="L628" s="98" t="str">
        <f ca="1">IF(J627&gt;=6,(MID(K628,1,1)&amp;MID(K628,2,3)+1),CELL("address",AC628))</f>
        <v>G632</v>
      </c>
      <c r="M628" s="98" t="str">
        <f ca="1">IF(J627&gt;=7,(MID(L628,1,1)&amp;MID(L628,2,3)+1),CELL("address",AD628))</f>
        <v>$AD$628</v>
      </c>
      <c r="N628" s="98" t="str">
        <f ca="1">IF(J627&gt;=8,(MID(M628,1,1)&amp;MID(M628,2,3)+1),CELL("address",AE628))</f>
        <v>$AE$628</v>
      </c>
      <c r="O628" s="98" t="str">
        <f ca="1">IF(J627&gt;=9,(MID(N628,1,1)&amp;MID(N628,2,3)+1),CELL("address",AF628))</f>
        <v>$AF$628</v>
      </c>
      <c r="P628" s="98" t="str">
        <f ca="1">IF(J627&gt;=10,(MID(O628,1,1)&amp;MID(O628,2,3)+1),CELL("address",AG628))</f>
        <v>$AG$628</v>
      </c>
      <c r="Q628" s="98" t="str">
        <f ca="1">IF(J627&gt;=11,(MID(P628,1,1)&amp;MID(P628,2,3)+1),CELL("address",AH628))</f>
        <v>$AH$628</v>
      </c>
      <c r="R628" s="98" t="str">
        <f ca="1">IF(J627&gt;=12,(MID(Q628,1,1)&amp;MID(Q628,2,3)+1),CELL("address",AI628))</f>
        <v>$AI$628</v>
      </c>
    </row>
    <row r="629" spans="1:15" ht="15" customHeight="1">
      <c r="A629" s="277"/>
      <c r="B629" s="277"/>
      <c r="C629" s="277"/>
      <c r="D629" s="45" t="s">
        <v>91</v>
      </c>
      <c r="E629" s="69">
        <v>1.2</v>
      </c>
      <c r="F629" s="98"/>
      <c r="G629" s="92" t="str">
        <f>CONCATENATE(D629," - ",E629,", ")</f>
        <v>4/core PVC Alumn. Cable scrap - 1.2, </v>
      </c>
      <c r="H629" s="98"/>
      <c r="I629" s="98" t="e">
        <f ca="1">IF(G628&gt;=6,(MID(H629,1,1)&amp;MID(H629,2,3)+1),CELL("address",Z629))</f>
        <v>#VALUE!</v>
      </c>
      <c r="J629" s="98" t="e">
        <f ca="1">IF(G628&gt;=7,(MID(I629,1,1)&amp;MID(I629,2,3)+1),CELL("address",AA629))</f>
        <v>#VALUE!</v>
      </c>
      <c r="K629" s="98" t="e">
        <f ca="1">IF(G628&gt;=8,(MID(J629,1,1)&amp;MID(J629,2,3)+1),CELL("address",AB629))</f>
        <v>#VALUE!</v>
      </c>
      <c r="L629" s="98" t="e">
        <f ca="1">IF(G628&gt;=9,(MID(K629,1,1)&amp;MID(K629,2,3)+1),CELL("address",AC629))</f>
        <v>#VALUE!</v>
      </c>
      <c r="M629" s="98" t="e">
        <f ca="1">IF(G628&gt;=10,(MID(L629,1,1)&amp;MID(L629,2,3)+1),CELL("address",AD629))</f>
        <v>#VALUE!</v>
      </c>
      <c r="N629" s="98" t="e">
        <f ca="1">IF(G628&gt;=11,(MID(M629,1,1)&amp;MID(M629,2,3)+1),CELL("address",AE629))</f>
        <v>#VALUE!</v>
      </c>
      <c r="O629" s="98" t="e">
        <f ca="1">IF(G628&gt;=12,(MID(N629,1,1)&amp;MID(N629,2,3)+1),CELL("address",AF629))</f>
        <v>#VALUE!</v>
      </c>
    </row>
    <row r="630" spans="1:8" ht="15" customHeight="1">
      <c r="A630" s="277"/>
      <c r="B630" s="277"/>
      <c r="C630" s="277"/>
      <c r="D630" s="45" t="s">
        <v>92</v>
      </c>
      <c r="E630" s="69">
        <v>1.908</v>
      </c>
      <c r="G630" s="92" t="str">
        <f>CONCATENATE(D630," - ",E630,", ")</f>
        <v>3/ core XLPE Alu cable scrap - 1.908, </v>
      </c>
      <c r="H630" s="1"/>
    </row>
    <row r="631" spans="1:8" ht="15" customHeight="1">
      <c r="A631" s="277"/>
      <c r="B631" s="277"/>
      <c r="C631" s="277"/>
      <c r="D631" s="45" t="s">
        <v>247</v>
      </c>
      <c r="E631" s="69">
        <v>0.265</v>
      </c>
      <c r="G631" s="92" t="str">
        <f>CONCATENATE(D631," - ",E631,", ")</f>
        <v>ABC cable scrap (150 mm) - 0.265, </v>
      </c>
      <c r="H631" s="1"/>
    </row>
    <row r="632" spans="1:8" ht="15" customHeight="1">
      <c r="A632" s="39"/>
      <c r="B632" s="41"/>
      <c r="C632" s="42"/>
      <c r="D632" s="34"/>
      <c r="E632" s="171"/>
      <c r="H632" s="1"/>
    </row>
    <row r="633" spans="1:8" ht="15" customHeight="1">
      <c r="A633" s="39"/>
      <c r="B633" s="48"/>
      <c r="C633" s="260"/>
      <c r="D633" s="267"/>
      <c r="E633" s="189">
        <f>SUM(E635:E639)</f>
        <v>2.78</v>
      </c>
      <c r="H633" s="1"/>
    </row>
    <row r="634" spans="1:18" ht="15" customHeight="1">
      <c r="A634" s="40" t="s">
        <v>5</v>
      </c>
      <c r="B634" s="275" t="s">
        <v>17</v>
      </c>
      <c r="C634" s="276"/>
      <c r="D634" s="259" t="s">
        <v>18</v>
      </c>
      <c r="E634" s="39" t="s">
        <v>7</v>
      </c>
      <c r="G634" s="93" t="str">
        <f>CONCATENATE("Cable Scrap, Lying at ",B635,". Quantity in MT - ")</f>
        <v>Cable Scrap, Lying at OL Ropar. Quantity in MT - </v>
      </c>
      <c r="H634" s="274" t="str">
        <f ca="1">CONCATENATE(G634,G635,(INDIRECT(I635)),(INDIRECT(J635)),(INDIRECT(K635)),(INDIRECT(L635)),(INDIRECT(M635)),(INDIRECT(N635)),(INDIRECT(O635)),(INDIRECT(P635)),(INDIRECT(Q635)),(INDIRECT(R635)))</f>
        <v>Cable Scrap, Lying at OL Ropar. Quantity in MT - 2/core PVC Alumn. Cable scrap - 0.51, 4/core PVC Alumn. Cable scrap - 0.587, 3/ core XLPE Alu cable scrap - 1.639, 1/core PVC Alumn. Cable scrap - 0.017, Alu.  seals scrap with lash wire - 0.027, </v>
      </c>
      <c r="I634" s="98" t="str">
        <f aca="true" ca="1" t="array" ref="I634">CELL("address",INDEX(G634:G658,MATCH(TRUE,ISBLANK(G634:G658),0)))</f>
        <v>$G$640</v>
      </c>
      <c r="J634" s="98">
        <f aca="true" t="array" ref="J634">MATCH(TRUE,ISBLANK(G634:G658),0)</f>
        <v>7</v>
      </c>
      <c r="K634" s="98">
        <f>J634-3</f>
        <v>4</v>
      </c>
      <c r="L634" s="98"/>
      <c r="M634" s="98"/>
      <c r="N634" s="98"/>
      <c r="O634" s="98"/>
      <c r="P634" s="98"/>
      <c r="Q634" s="98"/>
      <c r="R634" s="98"/>
    </row>
    <row r="635" spans="1:18" ht="15" customHeight="1">
      <c r="A635" s="277" t="s">
        <v>169</v>
      </c>
      <c r="B635" s="277" t="s">
        <v>98</v>
      </c>
      <c r="C635" s="277"/>
      <c r="D635" s="34" t="s">
        <v>90</v>
      </c>
      <c r="E635" s="171">
        <v>0.51</v>
      </c>
      <c r="F635" s="1">
        <v>0.364</v>
      </c>
      <c r="G635" s="92" t="str">
        <f>CONCATENATE(D635," - ",E635,", ")</f>
        <v>2/core PVC Alumn. Cable scrap - 0.51, </v>
      </c>
      <c r="H635" s="274"/>
      <c r="I635" s="98" t="str">
        <f ca="1">IF(J634&gt;=3,(MID(I634,2,1)&amp;MID(I634,4,3)-K634),CELL("address",Z635))</f>
        <v>G636</v>
      </c>
      <c r="J635" s="98" t="str">
        <f ca="1">IF(J634&gt;=4,(MID(I635,1,1)&amp;MID(I635,2,3)+1),CELL("address",AA635))</f>
        <v>G637</v>
      </c>
      <c r="K635" s="98" t="str">
        <f ca="1">IF(J634&gt;=5,(MID(J635,1,1)&amp;MID(J635,2,3)+1),CELL("address",AB635))</f>
        <v>G638</v>
      </c>
      <c r="L635" s="98" t="str">
        <f ca="1">IF(J634&gt;=6,(MID(K635,1,1)&amp;MID(K635,2,3)+1),CELL("address",AC635))</f>
        <v>G639</v>
      </c>
      <c r="M635" s="98" t="str">
        <f ca="1">IF(J634&gt;=7,(MID(L635,1,1)&amp;MID(L635,2,3)+1),CELL("address",AD635))</f>
        <v>G640</v>
      </c>
      <c r="N635" s="98" t="str">
        <f ca="1">IF(J634&gt;=8,(MID(M635,1,1)&amp;MID(M635,2,3)+1),CELL("address",AE635))</f>
        <v>$AE$635</v>
      </c>
      <c r="O635" s="98" t="str">
        <f ca="1">IF(J634&gt;=9,(MID(N635,1,1)&amp;MID(N635,2,3)+1),CELL("address",AF635))</f>
        <v>$AF$635</v>
      </c>
      <c r="P635" s="98" t="str">
        <f ca="1">IF(J634&gt;=10,(MID(O635,1,1)&amp;MID(O635,2,3)+1),CELL("address",AG635))</f>
        <v>$AG$635</v>
      </c>
      <c r="Q635" s="98" t="str">
        <f ca="1">IF(J634&gt;=11,(MID(P635,1,1)&amp;MID(P635,2,3)+1),CELL("address",AH635))</f>
        <v>$AH$635</v>
      </c>
      <c r="R635" s="98" t="str">
        <f ca="1">IF(J634&gt;=12,(MID(Q635,1,1)&amp;MID(Q635,2,3)+1),CELL("address",AI635))</f>
        <v>$AI$635</v>
      </c>
    </row>
    <row r="636" spans="1:15" ht="15" customHeight="1">
      <c r="A636" s="277"/>
      <c r="B636" s="277"/>
      <c r="C636" s="277"/>
      <c r="D636" s="34" t="s">
        <v>91</v>
      </c>
      <c r="E636" s="171">
        <v>0.587</v>
      </c>
      <c r="F636" s="98">
        <v>0.406</v>
      </c>
      <c r="G636" s="92" t="str">
        <f>CONCATENATE(D636," - ",E636,", ")</f>
        <v>4/core PVC Alumn. Cable scrap - 0.587, </v>
      </c>
      <c r="H636" s="98"/>
      <c r="I636" s="98"/>
      <c r="J636" s="98"/>
      <c r="K636" s="98"/>
      <c r="L636" s="98"/>
      <c r="M636" s="98"/>
      <c r="N636" s="98"/>
      <c r="O636" s="98"/>
    </row>
    <row r="637" spans="1:15" ht="15" customHeight="1">
      <c r="A637" s="277"/>
      <c r="B637" s="277"/>
      <c r="C637" s="277"/>
      <c r="D637" s="34" t="s">
        <v>92</v>
      </c>
      <c r="E637" s="171">
        <v>1.639</v>
      </c>
      <c r="F637" s="98">
        <v>1.425</v>
      </c>
      <c r="G637" s="92" t="str">
        <f>CONCATENATE(D637," - ",E637,", ")</f>
        <v>3/ core XLPE Alu cable scrap - 1.639, </v>
      </c>
      <c r="H637" s="98"/>
      <c r="I637" s="98" t="e">
        <f ca="1">IF(G636&gt;=6,(MID(H637,1,1)&amp;MID(H637,2,3)+1),CELL("address",Z637))</f>
        <v>#VALUE!</v>
      </c>
      <c r="J637" s="98" t="e">
        <f ca="1">IF(G636&gt;=7,(MID(I637,1,1)&amp;MID(I637,2,3)+1),CELL("address",AA637))</f>
        <v>#VALUE!</v>
      </c>
      <c r="K637" s="98" t="e">
        <f ca="1">IF(G636&gt;=8,(MID(J637,1,1)&amp;MID(J637,2,3)+1),CELL("address",AB637))</f>
        <v>#VALUE!</v>
      </c>
      <c r="L637" s="98" t="e">
        <f ca="1">IF(G636&gt;=9,(MID(K637,1,1)&amp;MID(K637,2,3)+1),CELL("address",AC637))</f>
        <v>#VALUE!</v>
      </c>
      <c r="M637" s="98" t="e">
        <f ca="1">IF(G636&gt;=10,(MID(L637,1,1)&amp;MID(L637,2,3)+1),CELL("address",AD637))</f>
        <v>#VALUE!</v>
      </c>
      <c r="N637" s="98" t="e">
        <f ca="1">IF(G636&gt;=11,(MID(M637,1,1)&amp;MID(M637,2,3)+1),CELL("address",AE637))</f>
        <v>#VALUE!</v>
      </c>
      <c r="O637" s="98" t="e">
        <f ca="1">IF(G636&gt;=12,(MID(N637,1,1)&amp;MID(N637,2,3)+1),CELL("address",AF637))</f>
        <v>#VALUE!</v>
      </c>
    </row>
    <row r="638" spans="1:8" ht="15" customHeight="1">
      <c r="A638" s="277"/>
      <c r="B638" s="277"/>
      <c r="C638" s="277"/>
      <c r="D638" s="45" t="s">
        <v>171</v>
      </c>
      <c r="E638" s="120">
        <v>0.017</v>
      </c>
      <c r="F638" s="1">
        <v>0.017</v>
      </c>
      <c r="G638" s="92" t="str">
        <f>CONCATENATE(D638," - ",E638,", ")</f>
        <v>1/core PVC Alumn. Cable scrap - 0.017, </v>
      </c>
      <c r="H638" s="1"/>
    </row>
    <row r="639" spans="1:8" ht="15" customHeight="1">
      <c r="A639" s="277"/>
      <c r="B639" s="277"/>
      <c r="C639" s="277"/>
      <c r="D639" s="45" t="s">
        <v>337</v>
      </c>
      <c r="E639" s="120">
        <v>0.027</v>
      </c>
      <c r="F639" s="1">
        <v>0.027</v>
      </c>
      <c r="G639" s="92" t="str">
        <f>CONCATENATE(D639," - ",E639,", ")</f>
        <v>Alu.  seals scrap with lash wire - 0.027, </v>
      </c>
      <c r="H639" s="1"/>
    </row>
    <row r="640" spans="1:8" ht="15" customHeight="1">
      <c r="A640" s="39"/>
      <c r="B640" s="41"/>
      <c r="C640" s="42"/>
      <c r="D640" s="34"/>
      <c r="E640" s="171"/>
      <c r="H640" s="1"/>
    </row>
    <row r="641" spans="1:8" ht="15" customHeight="1">
      <c r="A641" s="39"/>
      <c r="B641" s="48"/>
      <c r="C641" s="260"/>
      <c r="D641" s="267"/>
      <c r="E641" s="189">
        <f>SUM(E643:E645)</f>
        <v>7.553</v>
      </c>
      <c r="H641" s="1"/>
    </row>
    <row r="642" spans="1:18" ht="15" customHeight="1">
      <c r="A642" s="40" t="s">
        <v>5</v>
      </c>
      <c r="B642" s="275" t="s">
        <v>17</v>
      </c>
      <c r="C642" s="276"/>
      <c r="D642" s="259" t="s">
        <v>18</v>
      </c>
      <c r="E642" s="39" t="s">
        <v>7</v>
      </c>
      <c r="F642" s="98"/>
      <c r="G642" s="93" t="str">
        <f>CONCATENATE("Cable Scrap, Lying at ",B643,". Quantity in MT - ")</f>
        <v>Cable Scrap, Lying at CS Malout. Quantity in MT - </v>
      </c>
      <c r="H642" s="274" t="str">
        <f ca="1">CONCATENATE(G642,G643,(INDIRECT(I643)),(INDIRECT(J643)),(INDIRECT(K643)),(INDIRECT(L643)),(INDIRECT(M643)),(INDIRECT(N643)),(INDIRECT(O643)),(INDIRECT(P643)),(INDIRECT(Q643)),(INDIRECT(R643)))</f>
        <v>Cable Scrap, Lying at CS Malout. Quantity in MT - 2/core PVC Alumn. Cable scrap - 1.32, 4/core PVC Alumn. Cable scrap - 1.595, 3/ core XLPE Alu cable scrap - 4.638, </v>
      </c>
      <c r="I642" s="98" t="str">
        <f aca="true" ca="1" t="array" ref="I642">CELL("address",INDEX(G642:G666,MATCH(TRUE,ISBLANK(G642:G666),0)))</f>
        <v>$G$646</v>
      </c>
      <c r="J642" s="98">
        <f aca="true" t="array" ref="J642">MATCH(TRUE,ISBLANK(G642:G666),0)</f>
        <v>5</v>
      </c>
      <c r="K642" s="98">
        <f>J642-3</f>
        <v>2</v>
      </c>
      <c r="L642" s="98"/>
      <c r="M642" s="98"/>
      <c r="N642" s="98"/>
      <c r="O642" s="98"/>
      <c r="P642" s="98"/>
      <c r="Q642" s="98"/>
      <c r="R642" s="98"/>
    </row>
    <row r="643" spans="1:18" ht="15" customHeight="1">
      <c r="A643" s="277" t="s">
        <v>170</v>
      </c>
      <c r="B643" s="277" t="s">
        <v>95</v>
      </c>
      <c r="C643" s="277"/>
      <c r="D643" s="45" t="s">
        <v>90</v>
      </c>
      <c r="E643" s="120">
        <v>1.32</v>
      </c>
      <c r="F643" s="98"/>
      <c r="G643" s="92" t="str">
        <f>CONCATENATE(D643," - ",E643,", ")</f>
        <v>2/core PVC Alumn. Cable scrap - 1.32, </v>
      </c>
      <c r="H643" s="274"/>
      <c r="I643" s="98" t="str">
        <f ca="1">IF(J642&gt;=3,(MID(I642,2,1)&amp;MID(I642,4,3)-K642),CELL("address",Z643))</f>
        <v>G644</v>
      </c>
      <c r="J643" s="98" t="str">
        <f ca="1">IF(J642&gt;=4,(MID(I643,1,1)&amp;MID(I643,2,3)+1),CELL("address",AA643))</f>
        <v>G645</v>
      </c>
      <c r="K643" s="98" t="str">
        <f ca="1">IF(J642&gt;=5,(MID(J643,1,1)&amp;MID(J643,2,3)+1),CELL("address",AB643))</f>
        <v>G646</v>
      </c>
      <c r="L643" s="98" t="str">
        <f ca="1">IF(J642&gt;=6,(MID(K643,1,1)&amp;MID(K643,2,3)+1),CELL("address",AC643))</f>
        <v>$AC$643</v>
      </c>
      <c r="M643" s="98" t="str">
        <f ca="1">IF(J642&gt;=7,(MID(L643,1,1)&amp;MID(L643,2,3)+1),CELL("address",AD643))</f>
        <v>$AD$643</v>
      </c>
      <c r="N643" s="98" t="str">
        <f ca="1">IF(J642&gt;=8,(MID(M643,1,1)&amp;MID(M643,2,3)+1),CELL("address",AE643))</f>
        <v>$AE$643</v>
      </c>
      <c r="O643" s="98" t="str">
        <f ca="1">IF(J642&gt;=9,(MID(N643,1,1)&amp;MID(N643,2,3)+1),CELL("address",AF643))</f>
        <v>$AF$643</v>
      </c>
      <c r="P643" s="98" t="str">
        <f ca="1">IF(J642&gt;=10,(MID(O643,1,1)&amp;MID(O643,2,3)+1),CELL("address",AG643))</f>
        <v>$AG$643</v>
      </c>
      <c r="Q643" s="98" t="str">
        <f ca="1">IF(J642&gt;=11,(MID(P643,1,1)&amp;MID(P643,2,3)+1),CELL("address",AH643))</f>
        <v>$AH$643</v>
      </c>
      <c r="R643" s="98" t="str">
        <f ca="1">IF(J642&gt;=12,(MID(Q643,1,1)&amp;MID(Q643,2,3)+1),CELL("address",AI643))</f>
        <v>$AI$643</v>
      </c>
    </row>
    <row r="644" spans="1:8" ht="15" customHeight="1">
      <c r="A644" s="277"/>
      <c r="B644" s="277"/>
      <c r="C644" s="277"/>
      <c r="D644" s="45" t="s">
        <v>91</v>
      </c>
      <c r="E644" s="120">
        <v>1.595</v>
      </c>
      <c r="G644" s="92" t="str">
        <f>CONCATENATE(D644," - ",E644,", ")</f>
        <v>4/core PVC Alumn. Cable scrap - 1.595, </v>
      </c>
      <c r="H644" s="1"/>
    </row>
    <row r="645" spans="1:8" ht="15" customHeight="1">
      <c r="A645" s="277"/>
      <c r="B645" s="277"/>
      <c r="C645" s="277"/>
      <c r="D645" s="45" t="s">
        <v>92</v>
      </c>
      <c r="E645" s="120">
        <v>4.638</v>
      </c>
      <c r="G645" s="92" t="str">
        <f>CONCATENATE(D645," - ",E645,", ")</f>
        <v>3/ core XLPE Alu cable scrap - 4.638, </v>
      </c>
      <c r="H645" s="1"/>
    </row>
    <row r="646" spans="1:8" ht="15" customHeight="1">
      <c r="A646" s="39"/>
      <c r="B646" s="41"/>
      <c r="C646" s="42"/>
      <c r="D646" s="45"/>
      <c r="E646" s="120"/>
      <c r="H646" s="1"/>
    </row>
    <row r="647" spans="1:8" ht="15" customHeight="1">
      <c r="A647" s="39"/>
      <c r="B647" s="48"/>
      <c r="C647" s="260"/>
      <c r="D647" s="267"/>
      <c r="E647" s="189">
        <f>SUM(E649:E652)</f>
        <v>3.4060000000000006</v>
      </c>
      <c r="H647" s="1"/>
    </row>
    <row r="648" spans="1:18" ht="15" customHeight="1">
      <c r="A648" s="40" t="s">
        <v>5</v>
      </c>
      <c r="B648" s="275" t="s">
        <v>17</v>
      </c>
      <c r="C648" s="276"/>
      <c r="D648" s="259" t="s">
        <v>18</v>
      </c>
      <c r="E648" s="39" t="s">
        <v>7</v>
      </c>
      <c r="G648" s="93" t="str">
        <f>CONCATENATE("Cable Scrap, Lying at ",B649,". Quantity in MT - ")</f>
        <v>Cable Scrap, Lying at OL Nabha. Quantity in MT - </v>
      </c>
      <c r="H648" s="274" t="str">
        <f ca="1">CONCATENATE(G648,G649,(INDIRECT(I649)),(INDIRECT(J649)),(INDIRECT(K649)),(INDIRECT(L649)),(INDIRECT(M649)),(INDIRECT(N649)),(INDIRECT(O649)),(INDIRECT(P649)),(INDIRECT(Q649)),(INDIRECT(R649)))</f>
        <v>Cable Scrap, Lying at OL Nabha. Quantity in MT - 2/core PVC Alumn. Cable scrap - 1.195, 4/core PVC Alumn. Cable scrap - 1.024, 3/ core XLPE Alu cable scrap - 1.147, ABC cable scrap (70/95 mm) - 0.04, </v>
      </c>
      <c r="I648" s="98" t="str">
        <f aca="true" ca="1" t="array" ref="I648">CELL("address",INDEX(G648:G672,MATCH(TRUE,ISBLANK(G648:G672),0)))</f>
        <v>$G$653</v>
      </c>
      <c r="J648" s="98">
        <f aca="true" t="array" ref="J648">MATCH(TRUE,ISBLANK(G648:G672),0)</f>
        <v>6</v>
      </c>
      <c r="K648" s="98">
        <f>J648-3</f>
        <v>3</v>
      </c>
      <c r="L648" s="98"/>
      <c r="M648" s="98"/>
      <c r="N648" s="98"/>
      <c r="O648" s="98"/>
      <c r="P648" s="98"/>
      <c r="Q648" s="98"/>
      <c r="R648" s="98"/>
    </row>
    <row r="649" spans="1:18" ht="15" customHeight="1">
      <c r="A649" s="277" t="s">
        <v>172</v>
      </c>
      <c r="B649" s="277" t="s">
        <v>104</v>
      </c>
      <c r="C649" s="277"/>
      <c r="D649" s="34" t="s">
        <v>90</v>
      </c>
      <c r="E649" s="171">
        <v>1.195</v>
      </c>
      <c r="F649" s="98">
        <v>1.07</v>
      </c>
      <c r="G649" s="92" t="str">
        <f>CONCATENATE(D649," - ",E649,", ")</f>
        <v>2/core PVC Alumn. Cable scrap - 1.195, </v>
      </c>
      <c r="H649" s="274"/>
      <c r="I649" s="98" t="str">
        <f ca="1">IF(J648&gt;=3,(MID(I648,2,1)&amp;MID(I648,4,3)-K648),CELL("address",Z649))</f>
        <v>G650</v>
      </c>
      <c r="J649" s="98" t="str">
        <f ca="1">IF(J648&gt;=4,(MID(I649,1,1)&amp;MID(I649,2,3)+1),CELL("address",AA649))</f>
        <v>G651</v>
      </c>
      <c r="K649" s="98" t="str">
        <f ca="1">IF(J648&gt;=5,(MID(J649,1,1)&amp;MID(J649,2,3)+1),CELL("address",AB649))</f>
        <v>G652</v>
      </c>
      <c r="L649" s="98" t="str">
        <f ca="1">IF(J648&gt;=6,(MID(K649,1,1)&amp;MID(K649,2,3)+1),CELL("address",AC649))</f>
        <v>G653</v>
      </c>
      <c r="M649" s="98" t="str">
        <f ca="1">IF(J648&gt;=7,(MID(L649,1,1)&amp;MID(L649,2,3)+1),CELL("address",AD649))</f>
        <v>$AD$649</v>
      </c>
      <c r="N649" s="98" t="str">
        <f ca="1">IF(J648&gt;=8,(MID(M649,1,1)&amp;MID(M649,2,3)+1),CELL("address",AE649))</f>
        <v>$AE$649</v>
      </c>
      <c r="O649" s="98" t="str">
        <f ca="1">IF(J648&gt;=9,(MID(N649,1,1)&amp;MID(N649,2,3)+1),CELL("address",AF649))</f>
        <v>$AF$649</v>
      </c>
      <c r="P649" s="98" t="str">
        <f ca="1">IF(J648&gt;=10,(MID(O649,1,1)&amp;MID(O649,2,3)+1),CELL("address",AG649))</f>
        <v>$AG$649</v>
      </c>
      <c r="Q649" s="98" t="str">
        <f ca="1">IF(J648&gt;=11,(MID(P649,1,1)&amp;MID(P649,2,3)+1),CELL("address",AH649))</f>
        <v>$AH$649</v>
      </c>
      <c r="R649" s="98" t="str">
        <f ca="1">IF(J648&gt;=12,(MID(Q649,1,1)&amp;MID(Q649,2,3)+1),CELL("address",AI649))</f>
        <v>$AI$649</v>
      </c>
    </row>
    <row r="650" spans="1:15" ht="15" customHeight="1">
      <c r="A650" s="277"/>
      <c r="B650" s="277"/>
      <c r="C650" s="277"/>
      <c r="D650" s="34" t="s">
        <v>91</v>
      </c>
      <c r="E650" s="171">
        <v>1.024</v>
      </c>
      <c r="F650" s="98">
        <v>0.736</v>
      </c>
      <c r="G650" s="92" t="str">
        <f>CONCATENATE(D650," - ",E650,", ")</f>
        <v>4/core PVC Alumn. Cable scrap - 1.024, </v>
      </c>
      <c r="H650" s="98"/>
      <c r="I650" s="98" t="e">
        <f ca="1">IF(G649&gt;=6,(MID(H650,1,1)&amp;MID(H650,2,3)+1),CELL("address",Z650))</f>
        <v>#VALUE!</v>
      </c>
      <c r="J650" s="98" t="e">
        <f ca="1">IF(G649&gt;=7,(MID(I650,1,1)&amp;MID(I650,2,3)+1),CELL("address",AA650))</f>
        <v>#VALUE!</v>
      </c>
      <c r="K650" s="98" t="e">
        <f ca="1">IF(G649&gt;=8,(MID(J650,1,1)&amp;MID(J650,2,3)+1),CELL("address",AB650))</f>
        <v>#VALUE!</v>
      </c>
      <c r="L650" s="98" t="e">
        <f ca="1">IF(G649&gt;=9,(MID(K650,1,1)&amp;MID(K650,2,3)+1),CELL("address",AC650))</f>
        <v>#VALUE!</v>
      </c>
      <c r="M650" s="98" t="e">
        <f ca="1">IF(G649&gt;=10,(MID(L650,1,1)&amp;MID(L650,2,3)+1),CELL("address",AD650))</f>
        <v>#VALUE!</v>
      </c>
      <c r="N650" s="98" t="e">
        <f ca="1">IF(G649&gt;=11,(MID(M650,1,1)&amp;MID(M650,2,3)+1),CELL("address",AE650))</f>
        <v>#VALUE!</v>
      </c>
      <c r="O650" s="98" t="e">
        <f ca="1">IF(G649&gt;=12,(MID(N650,1,1)&amp;MID(N650,2,3)+1),CELL("address",AF650))</f>
        <v>#VALUE!</v>
      </c>
    </row>
    <row r="651" spans="1:8" ht="15" customHeight="1">
      <c r="A651" s="277"/>
      <c r="B651" s="277"/>
      <c r="C651" s="277"/>
      <c r="D651" s="45" t="s">
        <v>92</v>
      </c>
      <c r="E651" s="120">
        <v>1.147</v>
      </c>
      <c r="F651" s="1">
        <v>1.147</v>
      </c>
      <c r="G651" s="92" t="str">
        <f>CONCATENATE(D651," - ",E651,", ")</f>
        <v>3/ core XLPE Alu cable scrap - 1.147, </v>
      </c>
      <c r="H651" s="1"/>
    </row>
    <row r="652" spans="1:8" ht="15" customHeight="1">
      <c r="A652" s="277"/>
      <c r="B652" s="277"/>
      <c r="C652" s="277"/>
      <c r="D652" s="45" t="s">
        <v>168</v>
      </c>
      <c r="E652" s="120">
        <v>0.04</v>
      </c>
      <c r="F652" s="1">
        <v>0.04</v>
      </c>
      <c r="G652" s="92" t="str">
        <f>CONCATENATE(D652," - ",E652,", ")</f>
        <v>ABC cable scrap (70/95 mm) - 0.04, </v>
      </c>
      <c r="H652" s="1"/>
    </row>
    <row r="653" spans="1:8" ht="15" customHeight="1">
      <c r="A653" s="39"/>
      <c r="B653" s="41"/>
      <c r="C653" s="42"/>
      <c r="D653" s="34"/>
      <c r="E653" s="171"/>
      <c r="H653" s="1"/>
    </row>
    <row r="654" spans="1:8" ht="15" customHeight="1">
      <c r="A654" s="39"/>
      <c r="B654" s="268"/>
      <c r="C654" s="269"/>
      <c r="D654" s="270"/>
      <c r="E654" s="186">
        <f>SUM(E656:E660)</f>
        <v>13.764</v>
      </c>
      <c r="H654" s="1"/>
    </row>
    <row r="655" spans="1:18" ht="15" customHeight="1">
      <c r="A655" s="40" t="s">
        <v>5</v>
      </c>
      <c r="B655" s="275" t="s">
        <v>17</v>
      </c>
      <c r="C655" s="276"/>
      <c r="D655" s="259" t="s">
        <v>18</v>
      </c>
      <c r="E655" s="39" t="s">
        <v>7</v>
      </c>
      <c r="G655" s="93" t="str">
        <f>CONCATENATE("Cable Scrap, Lying at ",B656,". Quantity in MT - ")</f>
        <v>Cable Scrap, Lying at CS Patiala. Quantity in MT - </v>
      </c>
      <c r="H655" s="274" t="str">
        <f ca="1">CONCATENATE(G655,G656,(INDIRECT(I656)),(INDIRECT(J656)),(INDIRECT(K656)),(INDIRECT(L656)),(INDIRECT(M656)),(INDIRECT(N656)),(INDIRECT(O656)),(INDIRECT(P656)),(INDIRECT(Q656)),(INDIRECT(R656)))</f>
        <v>Cable Scrap, Lying at CS Patiala. Quantity in MT - 1/core PVC Alumn. Cable scrap - 0.343, 2/core PVC Alumn. Cable scrap - 1.725, 4/core PVC Alumn. Cable scrap - 3.273, 3/ core XLPE Alu cable scrap - 3.2, ABC cable scrap (150 mm) - 5.223, </v>
      </c>
      <c r="I655" s="98" t="str">
        <f aca="true" ca="1" t="array" ref="I655">CELL("address",INDEX(G655:G679,MATCH(TRUE,ISBLANK(G655:G679),0)))</f>
        <v>$G$661</v>
      </c>
      <c r="J655" s="98">
        <f aca="true" t="array" ref="J655">MATCH(TRUE,ISBLANK(G655:G679),0)</f>
        <v>7</v>
      </c>
      <c r="K655" s="98">
        <f>J655-3</f>
        <v>4</v>
      </c>
      <c r="L655" s="98"/>
      <c r="M655" s="98"/>
      <c r="N655" s="98"/>
      <c r="O655" s="98"/>
      <c r="P655" s="98"/>
      <c r="Q655" s="98"/>
      <c r="R655" s="98"/>
    </row>
    <row r="656" spans="1:18" ht="15" customHeight="1">
      <c r="A656" s="277" t="s">
        <v>173</v>
      </c>
      <c r="B656" s="277" t="s">
        <v>52</v>
      </c>
      <c r="C656" s="277"/>
      <c r="D656" s="34" t="s">
        <v>171</v>
      </c>
      <c r="E656" s="270">
        <v>0.343</v>
      </c>
      <c r="F656" s="1">
        <v>0.301</v>
      </c>
      <c r="G656" s="92" t="str">
        <f>CONCATENATE(D656," - ",E656,", ")</f>
        <v>1/core PVC Alumn. Cable scrap - 0.343, </v>
      </c>
      <c r="H656" s="274"/>
      <c r="I656" s="98" t="str">
        <f ca="1">IF(J655&gt;=3,(MID(I655,2,1)&amp;MID(I655,4,3)-K655),CELL("address",Z656))</f>
        <v>G657</v>
      </c>
      <c r="J656" s="98" t="str">
        <f ca="1">IF(J655&gt;=4,(MID(I656,1,1)&amp;MID(I656,2,3)+1),CELL("address",AA656))</f>
        <v>G658</v>
      </c>
      <c r="K656" s="98" t="str">
        <f ca="1">IF(J655&gt;=5,(MID(J656,1,1)&amp;MID(J656,2,3)+1),CELL("address",AB656))</f>
        <v>G659</v>
      </c>
      <c r="L656" s="98" t="str">
        <f ca="1">IF(J655&gt;=6,(MID(K656,1,1)&amp;MID(K656,2,3)+1),CELL("address",AC656))</f>
        <v>G660</v>
      </c>
      <c r="M656" s="98" t="str">
        <f ca="1">IF(J655&gt;=7,(MID(L656,1,1)&amp;MID(L656,2,3)+1),CELL("address",AD656))</f>
        <v>G661</v>
      </c>
      <c r="N656" s="98" t="str">
        <f ca="1">IF(J655&gt;=8,(MID(M656,1,1)&amp;MID(M656,2,3)+1),CELL("address",AE656))</f>
        <v>$AE$656</v>
      </c>
      <c r="O656" s="98" t="str">
        <f ca="1">IF(J655&gt;=9,(MID(N656,1,1)&amp;MID(N656,2,3)+1),CELL("address",AF656))</f>
        <v>$AF$656</v>
      </c>
      <c r="P656" s="98" t="str">
        <f ca="1">IF(J655&gt;=10,(MID(O656,1,1)&amp;MID(O656,2,3)+1),CELL("address",AG656))</f>
        <v>$AG$656</v>
      </c>
      <c r="Q656" s="98" t="str">
        <f ca="1">IF(J655&gt;=11,(MID(P656,1,1)&amp;MID(P656,2,3)+1),CELL("address",AH656))</f>
        <v>$AH$656</v>
      </c>
      <c r="R656" s="98" t="str">
        <f ca="1">IF(J655&gt;=12,(MID(Q656,1,1)&amp;MID(Q656,2,3)+1),CELL("address",AI656))</f>
        <v>$AI$656</v>
      </c>
    </row>
    <row r="657" spans="1:15" ht="15" customHeight="1">
      <c r="A657" s="277"/>
      <c r="B657" s="277"/>
      <c r="C657" s="277"/>
      <c r="D657" s="34" t="s">
        <v>90</v>
      </c>
      <c r="E657" s="264">
        <v>1.725</v>
      </c>
      <c r="F657" s="98">
        <v>1.07</v>
      </c>
      <c r="G657" s="92" t="str">
        <f>CONCATENATE(D657," - ",E657,", ")</f>
        <v>2/core PVC Alumn. Cable scrap - 1.725, </v>
      </c>
      <c r="H657" s="98"/>
      <c r="I657" s="98"/>
      <c r="J657" s="98"/>
      <c r="K657" s="98"/>
      <c r="L657" s="98"/>
      <c r="M657" s="98"/>
      <c r="N657" s="98"/>
      <c r="O657" s="98"/>
    </row>
    <row r="658" spans="1:15" ht="15" customHeight="1">
      <c r="A658" s="277"/>
      <c r="B658" s="277"/>
      <c r="C658" s="277"/>
      <c r="D658" s="34" t="s">
        <v>91</v>
      </c>
      <c r="E658" s="264">
        <v>3.273</v>
      </c>
      <c r="F658" s="98">
        <v>2.823</v>
      </c>
      <c r="G658" s="92" t="str">
        <f>CONCATENATE(D658," - ",E658,", ")</f>
        <v>4/core PVC Alumn. Cable scrap - 3.273, </v>
      </c>
      <c r="H658" s="98"/>
      <c r="I658" s="98" t="e">
        <f ca="1">IF(G657&gt;=6,(MID(H658,1,1)&amp;MID(H658,2,3)+1),CELL("address",Z658))</f>
        <v>#VALUE!</v>
      </c>
      <c r="J658" s="98" t="e">
        <f ca="1">IF(G657&gt;=7,(MID(I658,1,1)&amp;MID(I658,2,3)+1),CELL("address",AA658))</f>
        <v>#VALUE!</v>
      </c>
      <c r="K658" s="98" t="e">
        <f ca="1">IF(G657&gt;=8,(MID(J658,1,1)&amp;MID(J658,2,3)+1),CELL("address",AB658))</f>
        <v>#VALUE!</v>
      </c>
      <c r="L658" s="98" t="e">
        <f ca="1">IF(G657&gt;=9,(MID(K658,1,1)&amp;MID(K658,2,3)+1),CELL("address",AC658))</f>
        <v>#VALUE!</v>
      </c>
      <c r="M658" s="98" t="e">
        <f ca="1">IF(G657&gt;=10,(MID(L658,1,1)&amp;MID(L658,2,3)+1),CELL("address",AD658))</f>
        <v>#VALUE!</v>
      </c>
      <c r="N658" s="98" t="e">
        <f ca="1">IF(G657&gt;=11,(MID(M658,1,1)&amp;MID(M658,2,3)+1),CELL("address",AE658))</f>
        <v>#VALUE!</v>
      </c>
      <c r="O658" s="98" t="e">
        <f ca="1">IF(G657&gt;=12,(MID(N658,1,1)&amp;MID(N658,2,3)+1),CELL("address",AF658))</f>
        <v>#VALUE!</v>
      </c>
    </row>
    <row r="659" spans="1:8" ht="15" customHeight="1">
      <c r="A659" s="277"/>
      <c r="B659" s="277"/>
      <c r="C659" s="277"/>
      <c r="D659" s="34" t="s">
        <v>92</v>
      </c>
      <c r="E659" s="116">
        <v>3.2</v>
      </c>
      <c r="F659" s="1">
        <v>2.007</v>
      </c>
      <c r="G659" s="92" t="str">
        <f>CONCATENATE(D659," - ",E659,", ")</f>
        <v>3/ core XLPE Alu cable scrap - 3.2, </v>
      </c>
      <c r="H659" s="1"/>
    </row>
    <row r="660" spans="1:8" ht="15" customHeight="1">
      <c r="A660" s="277"/>
      <c r="B660" s="277"/>
      <c r="C660" s="277"/>
      <c r="D660" s="45" t="s">
        <v>247</v>
      </c>
      <c r="E660" s="190">
        <v>5.223</v>
      </c>
      <c r="F660" s="1">
        <v>5.223</v>
      </c>
      <c r="G660" s="92" t="str">
        <f>CONCATENATE(D660," - ",E660,", ")</f>
        <v>ABC cable scrap (150 mm) - 5.223, </v>
      </c>
      <c r="H660" s="1"/>
    </row>
    <row r="661" spans="1:8" ht="15" customHeight="1">
      <c r="A661" s="39"/>
      <c r="B661" s="41"/>
      <c r="C661" s="42"/>
      <c r="D661" s="34"/>
      <c r="E661" s="171"/>
      <c r="H661" s="1"/>
    </row>
    <row r="662" spans="1:8" ht="15" customHeight="1">
      <c r="A662" s="35"/>
      <c r="E662" s="136">
        <f>SUM(E664:E667)</f>
        <v>1.999</v>
      </c>
      <c r="H662" s="1"/>
    </row>
    <row r="663" spans="1:18" ht="15" customHeight="1">
      <c r="A663" s="40" t="s">
        <v>5</v>
      </c>
      <c r="B663" s="275" t="s">
        <v>17</v>
      </c>
      <c r="C663" s="276"/>
      <c r="D663" s="259" t="s">
        <v>18</v>
      </c>
      <c r="E663" s="39" t="s">
        <v>7</v>
      </c>
      <c r="G663" s="93" t="str">
        <f>CONCATENATE("Cable Scrap, Lying at ",B664,". Quantity in MT - ")</f>
        <v>Cable Scrap, Lying at OL Rajpura. Quantity in MT - </v>
      </c>
      <c r="H663" s="274" t="str">
        <f ca="1">CONCATENATE(G663,G664,(INDIRECT(I664)),(INDIRECT(J664)),(INDIRECT(K664)),(INDIRECT(L664)),(INDIRECT(M664)),(INDIRECT(N664)),(INDIRECT(O664)),(INDIRECT(P664)),(INDIRECT(Q664)),(INDIRECT(R664)))</f>
        <v>Cable Scrap, Lying at OL Rajpura. Quantity in MT - 2/core PVC Alumn. Cable scrap - 0.413, 4/core PVC Alumn. Cable scrap - 0.518, 3/ core XLPE Alu cable scrap - 0.509, ABC cable scrap (70/95 mm) - 0.559, </v>
      </c>
      <c r="I663" s="98" t="str">
        <f aca="true" ca="1" t="array" ref="I663">CELL("address",INDEX(G663:G687,MATCH(TRUE,ISBLANK(G663:G687),0)))</f>
        <v>$G$668</v>
      </c>
      <c r="J663" s="98">
        <f aca="true" t="array" ref="J663">MATCH(TRUE,ISBLANK(G663:G687),0)</f>
        <v>6</v>
      </c>
      <c r="K663" s="98">
        <f>J663-3</f>
        <v>3</v>
      </c>
      <c r="L663" s="98"/>
      <c r="M663" s="98"/>
      <c r="N663" s="98"/>
      <c r="O663" s="98"/>
      <c r="P663" s="98"/>
      <c r="Q663" s="98"/>
      <c r="R663" s="98"/>
    </row>
    <row r="664" spans="1:18" ht="15" customHeight="1">
      <c r="A664" s="277" t="s">
        <v>174</v>
      </c>
      <c r="B664" s="277" t="s">
        <v>103</v>
      </c>
      <c r="C664" s="277"/>
      <c r="D664" s="34" t="s">
        <v>90</v>
      </c>
      <c r="E664" s="270">
        <v>0.413</v>
      </c>
      <c r="F664" s="98">
        <v>0.176</v>
      </c>
      <c r="G664" s="92" t="str">
        <f>CONCATENATE(D664," - ",E664,", ")</f>
        <v>2/core PVC Alumn. Cable scrap - 0.413, </v>
      </c>
      <c r="H664" s="274"/>
      <c r="I664" s="98" t="str">
        <f ca="1">IF(J663&gt;=3,(MID(I663,2,1)&amp;MID(I663,4,3)-K663),CELL("address",Z664))</f>
        <v>G665</v>
      </c>
      <c r="J664" s="98" t="str">
        <f ca="1">IF(J663&gt;=4,(MID(I664,1,1)&amp;MID(I664,2,3)+1),CELL("address",AA664))</f>
        <v>G666</v>
      </c>
      <c r="K664" s="98" t="str">
        <f ca="1">IF(J663&gt;=5,(MID(J664,1,1)&amp;MID(J664,2,3)+1),CELL("address",AB664))</f>
        <v>G667</v>
      </c>
      <c r="L664" s="98" t="str">
        <f ca="1">IF(J663&gt;=6,(MID(K664,1,1)&amp;MID(K664,2,3)+1),CELL("address",AC664))</f>
        <v>G668</v>
      </c>
      <c r="M664" s="98" t="str">
        <f ca="1">IF(J663&gt;=7,(MID(L664,1,1)&amp;MID(L664,2,3)+1),CELL("address",AD664))</f>
        <v>$AD$664</v>
      </c>
      <c r="N664" s="98" t="str">
        <f ca="1">IF(J663&gt;=8,(MID(M664,1,1)&amp;MID(M664,2,3)+1),CELL("address",AE664))</f>
        <v>$AE$664</v>
      </c>
      <c r="O664" s="98" t="str">
        <f ca="1">IF(J663&gt;=9,(MID(N664,1,1)&amp;MID(N664,2,3)+1),CELL("address",AF664))</f>
        <v>$AF$664</v>
      </c>
      <c r="P664" s="98" t="str">
        <f ca="1">IF(J663&gt;=10,(MID(O664,1,1)&amp;MID(O664,2,3)+1),CELL("address",AG664))</f>
        <v>$AG$664</v>
      </c>
      <c r="Q664" s="98" t="str">
        <f ca="1">IF(J663&gt;=11,(MID(P664,1,1)&amp;MID(P664,2,3)+1),CELL("address",AH664))</f>
        <v>$AH$664</v>
      </c>
      <c r="R664" s="98" t="str">
        <f ca="1">IF(J663&gt;=12,(MID(Q664,1,1)&amp;MID(Q664,2,3)+1),CELL("address",AI664))</f>
        <v>$AI$664</v>
      </c>
    </row>
    <row r="665" spans="1:15" ht="15" customHeight="1">
      <c r="A665" s="277"/>
      <c r="B665" s="277"/>
      <c r="C665" s="277"/>
      <c r="D665" s="34" t="s">
        <v>91</v>
      </c>
      <c r="E665" s="264">
        <v>0.518</v>
      </c>
      <c r="F665" s="98">
        <v>0.376</v>
      </c>
      <c r="G665" s="92" t="str">
        <f>CONCATENATE(D665," - ",E665,", ")</f>
        <v>4/core PVC Alumn. Cable scrap - 0.518, </v>
      </c>
      <c r="H665" s="98"/>
      <c r="I665" s="98" t="e">
        <f ca="1">IF(G664&gt;=6,(MID(H665,1,1)&amp;MID(H665,2,3)+1),CELL("address",Z665))</f>
        <v>#VALUE!</v>
      </c>
      <c r="J665" s="98" t="e">
        <f ca="1">IF(G664&gt;=7,(MID(I665,1,1)&amp;MID(I665,2,3)+1),CELL("address",AA665))</f>
        <v>#VALUE!</v>
      </c>
      <c r="K665" s="98" t="e">
        <f ca="1">IF(G664&gt;=8,(MID(J665,1,1)&amp;MID(J665,2,3)+1),CELL("address",AB665))</f>
        <v>#VALUE!</v>
      </c>
      <c r="L665" s="98" t="e">
        <f ca="1">IF(G664&gt;=9,(MID(K665,1,1)&amp;MID(K665,2,3)+1),CELL("address",AC665))</f>
        <v>#VALUE!</v>
      </c>
      <c r="M665" s="98" t="e">
        <f ca="1">IF(G664&gt;=10,(MID(L665,1,1)&amp;MID(L665,2,3)+1),CELL("address",AD665))</f>
        <v>#VALUE!</v>
      </c>
      <c r="N665" s="98" t="e">
        <f ca="1">IF(G664&gt;=11,(MID(M665,1,1)&amp;MID(M665,2,3)+1),CELL("address",AE665))</f>
        <v>#VALUE!</v>
      </c>
      <c r="O665" s="98" t="e">
        <f ca="1">IF(G664&gt;=12,(MID(N665,1,1)&amp;MID(N665,2,3)+1),CELL("address",AF665))</f>
        <v>#VALUE!</v>
      </c>
    </row>
    <row r="666" spans="1:8" ht="15" customHeight="1">
      <c r="A666" s="277"/>
      <c r="B666" s="277"/>
      <c r="C666" s="277"/>
      <c r="D666" s="34" t="s">
        <v>92</v>
      </c>
      <c r="E666" s="264">
        <v>0.509</v>
      </c>
      <c r="F666" s="1">
        <v>0.139</v>
      </c>
      <c r="G666" s="92" t="str">
        <f>CONCATENATE(D666," - ",E666,", ")</f>
        <v>3/ core XLPE Alu cable scrap - 0.509, </v>
      </c>
      <c r="H666" s="1"/>
    </row>
    <row r="667" spans="1:8" ht="15" customHeight="1">
      <c r="A667" s="277"/>
      <c r="B667" s="277"/>
      <c r="C667" s="277"/>
      <c r="D667" s="45" t="s">
        <v>168</v>
      </c>
      <c r="E667" s="120">
        <v>0.559</v>
      </c>
      <c r="F667" s="1">
        <v>0.559</v>
      </c>
      <c r="G667" s="92" t="str">
        <f>CONCATENATE(D667," - ",E667,", ")</f>
        <v>ABC cable scrap (70/95 mm) - 0.559, </v>
      </c>
      <c r="H667" s="1"/>
    </row>
    <row r="668" spans="1:8" ht="15" customHeight="1">
      <c r="A668" s="39"/>
      <c r="B668" s="41"/>
      <c r="C668" s="42"/>
      <c r="D668" s="45"/>
      <c r="E668" s="120"/>
      <c r="H668" s="1"/>
    </row>
    <row r="669" spans="1:8" ht="15" customHeight="1">
      <c r="A669" s="39"/>
      <c r="B669" s="268"/>
      <c r="C669" s="269"/>
      <c r="D669" s="270"/>
      <c r="E669" s="186">
        <f>SUM(E671:E674)</f>
        <v>4.653</v>
      </c>
      <c r="H669" s="1"/>
    </row>
    <row r="670" spans="1:18" ht="15" customHeight="1">
      <c r="A670" s="40" t="s">
        <v>5</v>
      </c>
      <c r="B670" s="275" t="s">
        <v>17</v>
      </c>
      <c r="C670" s="276"/>
      <c r="D670" s="259" t="s">
        <v>18</v>
      </c>
      <c r="E670" s="39" t="s">
        <v>7</v>
      </c>
      <c r="G670" s="93" t="str">
        <f>CONCATENATE("Cable Scrap, Lying at ",B671,". Quantity in MT - ")</f>
        <v>Cable Scrap, Lying at OL Barnala. Quantity in MT - </v>
      </c>
      <c r="H670" s="274" t="str">
        <f ca="1">CONCATENATE(G670,G671,(INDIRECT(I671)),(INDIRECT(J671)),(INDIRECT(K671)),(INDIRECT(L671)),(INDIRECT(M671)),(INDIRECT(N671)),(INDIRECT(O671)),(INDIRECT(P671)),(INDIRECT(Q671)),(INDIRECT(R671)))</f>
        <v>Cable Scrap, Lying at OL Barnala. Quantity in MT - 2/core PVC Alumn. Cable scrap - 0.53, 4/core PVC Alumn. Cable scrap - 0.989, 3/ core XLPE Alu cable scrap - 3.116, 1/ core XLPE Alu cable scrap - 0.018, </v>
      </c>
      <c r="I670" s="98" t="str">
        <f aca="true" ca="1" t="array" ref="I670">CELL("address",INDEX(G670:G694,MATCH(TRUE,ISBLANK(G670:G694),0)))</f>
        <v>$G$675</v>
      </c>
      <c r="J670" s="98">
        <f aca="true" t="array" ref="J670">MATCH(TRUE,ISBLANK(G670:G694),0)</f>
        <v>6</v>
      </c>
      <c r="K670" s="98">
        <f>J670-3</f>
        <v>3</v>
      </c>
      <c r="L670" s="98"/>
      <c r="M670" s="98"/>
      <c r="N670" s="98"/>
      <c r="O670" s="98"/>
      <c r="P670" s="98"/>
      <c r="Q670" s="98"/>
      <c r="R670" s="98"/>
    </row>
    <row r="671" spans="1:18" ht="15" customHeight="1">
      <c r="A671" s="277" t="s">
        <v>244</v>
      </c>
      <c r="B671" s="277" t="s">
        <v>190</v>
      </c>
      <c r="C671" s="277"/>
      <c r="D671" s="45" t="s">
        <v>90</v>
      </c>
      <c r="E671" s="69">
        <v>0.53</v>
      </c>
      <c r="F671" s="98"/>
      <c r="G671" s="92" t="str">
        <f>CONCATENATE(D671," - ",E671,", ")</f>
        <v>2/core PVC Alumn. Cable scrap - 0.53, </v>
      </c>
      <c r="H671" s="274"/>
      <c r="I671" s="98" t="str">
        <f ca="1">IF(J670&gt;=3,(MID(I670,2,1)&amp;MID(I670,4,3)-K670),CELL("address",Z671))</f>
        <v>G672</v>
      </c>
      <c r="J671" s="98" t="str">
        <f ca="1">IF(J670&gt;=4,(MID(I671,1,1)&amp;MID(I671,2,3)+1),CELL("address",AA671))</f>
        <v>G673</v>
      </c>
      <c r="K671" s="98" t="str">
        <f ca="1">IF(J670&gt;=5,(MID(J671,1,1)&amp;MID(J671,2,3)+1),CELL("address",AB671))</f>
        <v>G674</v>
      </c>
      <c r="L671" s="98" t="str">
        <f ca="1">IF(J670&gt;=6,(MID(K671,1,1)&amp;MID(K671,2,3)+1),CELL("address",AC671))</f>
        <v>G675</v>
      </c>
      <c r="M671" s="98" t="str">
        <f ca="1">IF(J670&gt;=7,(MID(L671,1,1)&amp;MID(L671,2,3)+1),CELL("address",AD671))</f>
        <v>$AD$671</v>
      </c>
      <c r="N671" s="98" t="str">
        <f ca="1">IF(J670&gt;=8,(MID(M671,1,1)&amp;MID(M671,2,3)+1),CELL("address",AE671))</f>
        <v>$AE$671</v>
      </c>
      <c r="O671" s="98" t="str">
        <f ca="1">IF(J670&gt;=9,(MID(N671,1,1)&amp;MID(N671,2,3)+1),CELL("address",AF671))</f>
        <v>$AF$671</v>
      </c>
      <c r="P671" s="98" t="str">
        <f ca="1">IF(J670&gt;=10,(MID(O671,1,1)&amp;MID(O671,2,3)+1),CELL("address",AG671))</f>
        <v>$AG$671</v>
      </c>
      <c r="Q671" s="98" t="str">
        <f ca="1">IF(J670&gt;=11,(MID(P671,1,1)&amp;MID(P671,2,3)+1),CELL("address",AH671))</f>
        <v>$AH$671</v>
      </c>
      <c r="R671" s="98" t="str">
        <f ca="1">IF(J670&gt;=12,(MID(Q671,1,1)&amp;MID(Q671,2,3)+1),CELL("address",AI671))</f>
        <v>$AI$671</v>
      </c>
    </row>
    <row r="672" spans="1:15" ht="15" customHeight="1">
      <c r="A672" s="277"/>
      <c r="B672" s="277"/>
      <c r="C672" s="277"/>
      <c r="D672" s="45" t="s">
        <v>91</v>
      </c>
      <c r="E672" s="69">
        <v>0.989</v>
      </c>
      <c r="F672" s="98"/>
      <c r="G672" s="92" t="str">
        <f>CONCATENATE(D672," - ",E672,", ")</f>
        <v>4/core PVC Alumn. Cable scrap - 0.989, </v>
      </c>
      <c r="H672" s="98"/>
      <c r="I672" s="98" t="e">
        <f ca="1">IF(G671&gt;=6,(MID(H672,1,1)&amp;MID(H672,2,3)+1),CELL("address",Z672))</f>
        <v>#VALUE!</v>
      </c>
      <c r="J672" s="98" t="e">
        <f ca="1">IF(G671&gt;=7,(MID(I672,1,1)&amp;MID(I672,2,3)+1),CELL("address",AA672))</f>
        <v>#VALUE!</v>
      </c>
      <c r="K672" s="98" t="e">
        <f ca="1">IF(G671&gt;=8,(MID(J672,1,1)&amp;MID(J672,2,3)+1),CELL("address",AB672))</f>
        <v>#VALUE!</v>
      </c>
      <c r="L672" s="98" t="e">
        <f ca="1">IF(G671&gt;=9,(MID(K672,1,1)&amp;MID(K672,2,3)+1),CELL("address",AC672))</f>
        <v>#VALUE!</v>
      </c>
      <c r="M672" s="98" t="e">
        <f ca="1">IF(G671&gt;=10,(MID(L672,1,1)&amp;MID(L672,2,3)+1),CELL("address",AD672))</f>
        <v>#VALUE!</v>
      </c>
      <c r="N672" s="98" t="e">
        <f ca="1">IF(G671&gt;=11,(MID(M672,1,1)&amp;MID(M672,2,3)+1),CELL("address",AE672))</f>
        <v>#VALUE!</v>
      </c>
      <c r="O672" s="98" t="e">
        <f ca="1">IF(G671&gt;=12,(MID(N672,1,1)&amp;MID(N672,2,3)+1),CELL("address",AF672))</f>
        <v>#VALUE!</v>
      </c>
    </row>
    <row r="673" spans="1:8" ht="15" customHeight="1">
      <c r="A673" s="277"/>
      <c r="B673" s="277"/>
      <c r="C673" s="277"/>
      <c r="D673" s="45" t="s">
        <v>92</v>
      </c>
      <c r="E673" s="120">
        <v>3.116</v>
      </c>
      <c r="G673" s="92" t="str">
        <f>CONCATENATE(D673," - ",E673,", ")</f>
        <v>3/ core XLPE Alu cable scrap - 3.116, </v>
      </c>
      <c r="H673" s="1"/>
    </row>
    <row r="674" spans="1:8" ht="15" customHeight="1">
      <c r="A674" s="277"/>
      <c r="B674" s="277"/>
      <c r="C674" s="277"/>
      <c r="D674" s="45" t="s">
        <v>97</v>
      </c>
      <c r="E674" s="120">
        <v>0.018</v>
      </c>
      <c r="G674" s="92" t="str">
        <f>CONCATENATE(D674," - ",E674,", ")</f>
        <v>1/ core XLPE Alu cable scrap - 0.018, </v>
      </c>
      <c r="H674" s="1"/>
    </row>
    <row r="675" spans="1:8" ht="15" customHeight="1">
      <c r="A675" s="39"/>
      <c r="B675" s="115"/>
      <c r="C675" s="59"/>
      <c r="D675" s="116"/>
      <c r="E675" s="191"/>
      <c r="H675" s="1"/>
    </row>
    <row r="676" spans="1:8" ht="15" customHeight="1">
      <c r="A676" s="39"/>
      <c r="B676" s="268"/>
      <c r="C676" s="269"/>
      <c r="D676" s="270"/>
      <c r="E676" s="186">
        <f>SUM(E678:E683)</f>
        <v>4.720000000000001</v>
      </c>
      <c r="H676" s="1"/>
    </row>
    <row r="677" spans="1:27" ht="15" customHeight="1">
      <c r="A677" s="70" t="s">
        <v>5</v>
      </c>
      <c r="B677" s="292" t="s">
        <v>17</v>
      </c>
      <c r="C677" s="293"/>
      <c r="D677" s="259" t="s">
        <v>18</v>
      </c>
      <c r="E677" s="39" t="s">
        <v>7</v>
      </c>
      <c r="G677" s="93" t="str">
        <f>CONCATENATE("Cable Scrap, Lying at ",B678,". Quantity in MT - ")</f>
        <v>Cable Scrap, Lying at CS Sangrur. Quantity in MT - </v>
      </c>
      <c r="H677" s="274" t="str">
        <f ca="1">CONCATENATE(G677,G678,(INDIRECT(I678)),(INDIRECT(J678)),(INDIRECT(K678)),(INDIRECT(L678)),(INDIRECT(M678)),(INDIRECT(N678)),(INDIRECT(O678)),(INDIRECT(P678)),(INDIRECT(Q678)),(INDIRECT(R678)))</f>
        <v>Cable Scrap, Lying at CS Sangrur. Quantity in MT - 2/core PVC Alumn. Cable scrap - 0.298, 4/core PVC Alumn. Cable scrap - 0.539, 3/ core XLPE Alu cable scrap - 2.437, Lead seal scrap with lash wire - 0.036, ABC cable scrap (70/95 mm) - 1.345, 1/ core XLPE Alu cable scrap - 0.065, </v>
      </c>
      <c r="I677" s="98" t="str">
        <f aca="true" ca="1" t="array" ref="I677">CELL("address",INDEX(G677:G701,MATCH(TRUE,ISBLANK(G677:G701),0)))</f>
        <v>$G$684</v>
      </c>
      <c r="J677" s="98">
        <f aca="true" t="array" ref="J677">MATCH(TRUE,ISBLANK(G677:G701),0)</f>
        <v>8</v>
      </c>
      <c r="K677" s="98">
        <f>J677-3</f>
        <v>5</v>
      </c>
      <c r="L677" s="98"/>
      <c r="M677" s="98"/>
      <c r="N677" s="98"/>
      <c r="O677" s="98"/>
      <c r="P677" s="98"/>
      <c r="Q677" s="98"/>
      <c r="R677" s="98"/>
      <c r="T677" s="185"/>
      <c r="U677" s="185"/>
      <c r="V677" s="185"/>
      <c r="W677" s="185"/>
      <c r="X677" s="185"/>
      <c r="Y677" s="185"/>
      <c r="Z677" s="185"/>
      <c r="AA677" s="102"/>
    </row>
    <row r="678" spans="1:18" ht="15" customHeight="1">
      <c r="A678" s="277" t="s">
        <v>211</v>
      </c>
      <c r="B678" s="277" t="s">
        <v>79</v>
      </c>
      <c r="C678" s="277"/>
      <c r="D678" s="81" t="s">
        <v>90</v>
      </c>
      <c r="E678" s="69">
        <v>0.298</v>
      </c>
      <c r="G678" s="92" t="str">
        <f aca="true" t="shared" si="2" ref="G678:G683">CONCATENATE(D678," - ",E678,", ")</f>
        <v>2/core PVC Alumn. Cable scrap - 0.298, </v>
      </c>
      <c r="H678" s="274"/>
      <c r="I678" s="98" t="str">
        <f ca="1">IF(J677&gt;=3,(MID(I677,2,1)&amp;MID(I677,4,3)-K677),CELL("address",Z678))</f>
        <v>G679</v>
      </c>
      <c r="J678" s="98" t="str">
        <f ca="1">IF(J677&gt;=4,(MID(I678,1,1)&amp;MID(I678,2,3)+1),CELL("address",AA678))</f>
        <v>G680</v>
      </c>
      <c r="K678" s="98" t="str">
        <f ca="1">IF(J677&gt;=5,(MID(J678,1,1)&amp;MID(J678,2,3)+1),CELL("address",AB678))</f>
        <v>G681</v>
      </c>
      <c r="L678" s="98" t="str">
        <f ca="1">IF(J677&gt;=6,(MID(K678,1,1)&amp;MID(K678,2,3)+1),CELL("address",AC678))</f>
        <v>G682</v>
      </c>
      <c r="M678" s="98" t="str">
        <f ca="1">IF(J677&gt;=7,(MID(L678,1,1)&amp;MID(L678,2,3)+1),CELL("address",AD678))</f>
        <v>G683</v>
      </c>
      <c r="N678" s="98" t="str">
        <f ca="1">IF(J677&gt;=8,(MID(M678,1,1)&amp;MID(M678,2,3)+1),CELL("address",AE678))</f>
        <v>G684</v>
      </c>
      <c r="O678" s="98" t="str">
        <f ca="1">IF(J677&gt;=9,(MID(N678,1,1)&amp;MID(N678,2,3)+1),CELL("address",AF678))</f>
        <v>$AF$678</v>
      </c>
      <c r="P678" s="98" t="str">
        <f ca="1">IF(J677&gt;=10,(MID(O678,1,1)&amp;MID(O678,2,3)+1),CELL("address",AG678))</f>
        <v>$AG$678</v>
      </c>
      <c r="Q678" s="98" t="str">
        <f ca="1">IF(J677&gt;=11,(MID(P678,1,1)&amp;MID(P678,2,3)+1),CELL("address",AH678))</f>
        <v>$AH$678</v>
      </c>
      <c r="R678" s="98" t="str">
        <f ca="1">IF(J677&gt;=12,(MID(Q678,1,1)&amp;MID(Q678,2,3)+1),CELL("address",AI678))</f>
        <v>$AI$678</v>
      </c>
    </row>
    <row r="679" spans="1:8" ht="15" customHeight="1">
      <c r="A679" s="277"/>
      <c r="B679" s="277"/>
      <c r="C679" s="277"/>
      <c r="D679" s="81" t="s">
        <v>91</v>
      </c>
      <c r="E679" s="69">
        <v>0.539</v>
      </c>
      <c r="G679" s="92" t="str">
        <f t="shared" si="2"/>
        <v>4/core PVC Alumn. Cable scrap - 0.539, </v>
      </c>
      <c r="H679" s="1"/>
    </row>
    <row r="680" spans="1:15" ht="15" customHeight="1">
      <c r="A680" s="277"/>
      <c r="B680" s="277"/>
      <c r="C680" s="277"/>
      <c r="D680" s="81" t="s">
        <v>92</v>
      </c>
      <c r="E680" s="69">
        <v>2.437</v>
      </c>
      <c r="F680" s="98"/>
      <c r="G680" s="92" t="str">
        <f t="shared" si="2"/>
        <v>3/ core XLPE Alu cable scrap - 2.437, </v>
      </c>
      <c r="H680" s="98"/>
      <c r="I680" s="98"/>
      <c r="J680" s="98"/>
      <c r="K680" s="98"/>
      <c r="L680" s="98"/>
      <c r="M680" s="98"/>
      <c r="N680" s="98"/>
      <c r="O680" s="98"/>
    </row>
    <row r="681" spans="1:15" ht="15" customHeight="1">
      <c r="A681" s="277"/>
      <c r="B681" s="277"/>
      <c r="C681" s="277"/>
      <c r="D681" s="81" t="s">
        <v>188</v>
      </c>
      <c r="E681" s="190">
        <v>0.036</v>
      </c>
      <c r="F681" s="98"/>
      <c r="G681" s="92" t="str">
        <f t="shared" si="2"/>
        <v>Lead seal scrap with lash wire - 0.036, </v>
      </c>
      <c r="H681" s="98"/>
      <c r="I681" s="98" t="e">
        <f ca="1">IF(G680&gt;=6,(MID(H681,1,1)&amp;MID(H681,2,3)+1),CELL("address",Z681))</f>
        <v>#VALUE!</v>
      </c>
      <c r="J681" s="98" t="e">
        <f ca="1">IF(G680&gt;=7,(MID(I681,1,1)&amp;MID(I681,2,3)+1),CELL("address",AA681))</f>
        <v>#VALUE!</v>
      </c>
      <c r="K681" s="98" t="e">
        <f ca="1">IF(G680&gt;=8,(MID(J681,1,1)&amp;MID(J681,2,3)+1),CELL("address",AB681))</f>
        <v>#VALUE!</v>
      </c>
      <c r="L681" s="98" t="e">
        <f ca="1">IF(G680&gt;=9,(MID(K681,1,1)&amp;MID(K681,2,3)+1),CELL("address",AC681))</f>
        <v>#VALUE!</v>
      </c>
      <c r="M681" s="98" t="e">
        <f ca="1">IF(G680&gt;=10,(MID(L681,1,1)&amp;MID(L681,2,3)+1),CELL("address",AD681))</f>
        <v>#VALUE!</v>
      </c>
      <c r="N681" s="98" t="e">
        <f ca="1">IF(G680&gt;=11,(MID(M681,1,1)&amp;MID(M681,2,3)+1),CELL("address",AE681))</f>
        <v>#VALUE!</v>
      </c>
      <c r="O681" s="98" t="e">
        <f ca="1">IF(G680&gt;=12,(MID(N681,1,1)&amp;MID(N681,2,3)+1),CELL("address",AF681))</f>
        <v>#VALUE!</v>
      </c>
    </row>
    <row r="682" spans="1:8" ht="15" customHeight="1">
      <c r="A682" s="277"/>
      <c r="B682" s="277"/>
      <c r="C682" s="277"/>
      <c r="D682" s="207" t="s">
        <v>168</v>
      </c>
      <c r="E682" s="120">
        <v>1.345</v>
      </c>
      <c r="G682" s="92" t="str">
        <f t="shared" si="2"/>
        <v>ABC cable scrap (70/95 mm) - 1.345, </v>
      </c>
      <c r="H682" s="1"/>
    </row>
    <row r="683" spans="1:8" ht="15" customHeight="1">
      <c r="A683" s="277"/>
      <c r="B683" s="277"/>
      <c r="C683" s="277"/>
      <c r="D683" s="81" t="s">
        <v>97</v>
      </c>
      <c r="E683" s="120">
        <v>0.065</v>
      </c>
      <c r="G683" s="92" t="str">
        <f t="shared" si="2"/>
        <v>1/ core XLPE Alu cable scrap - 0.065, </v>
      </c>
      <c r="H683" s="1"/>
    </row>
    <row r="684" spans="1:8" ht="15" customHeight="1">
      <c r="A684" s="50"/>
      <c r="B684" s="115"/>
      <c r="C684" s="59"/>
      <c r="D684" s="71"/>
      <c r="E684" s="120"/>
      <c r="H684" s="1"/>
    </row>
    <row r="685" spans="1:8" ht="15" customHeight="1">
      <c r="A685" s="39"/>
      <c r="B685" s="268"/>
      <c r="C685" s="269"/>
      <c r="D685" s="270" t="s">
        <v>254</v>
      </c>
      <c r="E685" s="186">
        <f>SUM(E687:E690)</f>
        <v>1.8059999999999998</v>
      </c>
      <c r="H685" s="1"/>
    </row>
    <row r="686" spans="1:18" ht="15" customHeight="1">
      <c r="A686" s="40" t="s">
        <v>5</v>
      </c>
      <c r="B686" s="275" t="s">
        <v>17</v>
      </c>
      <c r="C686" s="276"/>
      <c r="D686" s="259" t="s">
        <v>18</v>
      </c>
      <c r="E686" s="39" t="s">
        <v>7</v>
      </c>
      <c r="G686" s="93" t="str">
        <f>CONCATENATE("Cable Scrap, Lying at ",B687,". Quantity in MT - ")</f>
        <v>Cable Scrap, Lying at CS Mohali. Quantity in MT - </v>
      </c>
      <c r="H686" s="274" t="str">
        <f ca="1">CONCATENATE(G686,G687,(INDIRECT(I687)),(INDIRECT(J687)),(INDIRECT(K687)),(INDIRECT(L687)),(INDIRECT(M687)),(INDIRECT(N687)),(INDIRECT(O687)),(INDIRECT(P687)),(INDIRECT(Q687)),(INDIRECT(R687)))</f>
        <v>Cable Scrap, Lying at CS Mohali. Quantity in MT - 4/core PVC Alumn. Cable scrap - 1.297, 3/ core XLPE Alu cable scrap - 0.208, 1/core PVC Alumn. Cable scrap - 0.158, 2/core PVC Alumn. Cable scrap - 0.143, </v>
      </c>
      <c r="I686" s="98" t="str">
        <f aca="true" ca="1" t="array" ref="I686">CELL("address",INDEX(G686:G710,MATCH(TRUE,ISBLANK(G686:G710),0)))</f>
        <v>$G$691</v>
      </c>
      <c r="J686" s="98">
        <f aca="true" t="array" ref="J686">MATCH(TRUE,ISBLANK(G686:G710),0)</f>
        <v>6</v>
      </c>
      <c r="K686" s="98">
        <f>J686-3</f>
        <v>3</v>
      </c>
      <c r="L686" s="98"/>
      <c r="M686" s="98"/>
      <c r="N686" s="98"/>
      <c r="O686" s="98"/>
      <c r="P686" s="98"/>
      <c r="Q686" s="98"/>
      <c r="R686" s="98"/>
    </row>
    <row r="687" spans="1:18" ht="15" customHeight="1">
      <c r="A687" s="277" t="s">
        <v>252</v>
      </c>
      <c r="B687" s="277" t="s">
        <v>62</v>
      </c>
      <c r="C687" s="277"/>
      <c r="D687" s="34" t="s">
        <v>91</v>
      </c>
      <c r="E687" s="270">
        <v>1.297</v>
      </c>
      <c r="F687" s="98">
        <v>0.649</v>
      </c>
      <c r="G687" s="92" t="str">
        <f>CONCATENATE(D687," - ",E687,", ")</f>
        <v>4/core PVC Alumn. Cable scrap - 1.297, </v>
      </c>
      <c r="H687" s="274"/>
      <c r="I687" s="98" t="str">
        <f ca="1">IF(J686&gt;=3,(MID(I686,2,1)&amp;MID(I686,4,3)-K686),CELL("address",Z687))</f>
        <v>G688</v>
      </c>
      <c r="J687" s="98" t="str">
        <f ca="1">IF(J686&gt;=4,(MID(I687,1,1)&amp;MID(I687,2,3)+1),CELL("address",AA687))</f>
        <v>G689</v>
      </c>
      <c r="K687" s="98" t="str">
        <f ca="1">IF(J686&gt;=5,(MID(J687,1,1)&amp;MID(J687,2,3)+1),CELL("address",AB687))</f>
        <v>G690</v>
      </c>
      <c r="L687" s="98" t="str">
        <f ca="1">IF(J686&gt;=6,(MID(K687,1,1)&amp;MID(K687,2,3)+1),CELL("address",AC687))</f>
        <v>G691</v>
      </c>
      <c r="M687" s="98" t="str">
        <f ca="1">IF(J686&gt;=7,(MID(L687,1,1)&amp;MID(L687,2,3)+1),CELL("address",AD687))</f>
        <v>$AD$687</v>
      </c>
      <c r="N687" s="98" t="str">
        <f ca="1">IF(J686&gt;=8,(MID(M687,1,1)&amp;MID(M687,2,3)+1),CELL("address",AE687))</f>
        <v>$AE$687</v>
      </c>
      <c r="O687" s="98" t="str">
        <f ca="1">IF(J686&gt;=9,(MID(N687,1,1)&amp;MID(N687,2,3)+1),CELL("address",AF687))</f>
        <v>$AF$687</v>
      </c>
      <c r="P687" s="98" t="str">
        <f ca="1">IF(J686&gt;=10,(MID(O687,1,1)&amp;MID(O687,2,3)+1),CELL("address",AG687))</f>
        <v>$AG$687</v>
      </c>
      <c r="Q687" s="98" t="str">
        <f ca="1">IF(J686&gt;=11,(MID(P687,1,1)&amp;MID(P687,2,3)+1),CELL("address",AH687))</f>
        <v>$AH$687</v>
      </c>
      <c r="R687" s="98" t="str">
        <f ca="1">IF(J686&gt;=12,(MID(Q687,1,1)&amp;MID(Q687,2,3)+1),CELL("address",AI687))</f>
        <v>$AI$687</v>
      </c>
    </row>
    <row r="688" spans="1:15" ht="15" customHeight="1">
      <c r="A688" s="277"/>
      <c r="B688" s="277"/>
      <c r="C688" s="277"/>
      <c r="D688" s="45" t="s">
        <v>92</v>
      </c>
      <c r="E688" s="69">
        <v>0.208</v>
      </c>
      <c r="F688" s="98">
        <v>0.208</v>
      </c>
      <c r="G688" s="92" t="str">
        <f>CONCATENATE(D688," - ",E688,", ")</f>
        <v>3/ core XLPE Alu cable scrap - 0.208, </v>
      </c>
      <c r="H688" s="98"/>
      <c r="I688" s="98" t="e">
        <f ca="1">IF(G687&gt;=6,(MID(H688,1,1)&amp;MID(H688,2,3)+1),CELL("address",Z688))</f>
        <v>#VALUE!</v>
      </c>
      <c r="J688" s="98" t="e">
        <f ca="1">IF(G687&gt;=7,(MID(I688,1,1)&amp;MID(I688,2,3)+1),CELL("address",AA688))</f>
        <v>#VALUE!</v>
      </c>
      <c r="K688" s="98" t="e">
        <f ca="1">IF(G687&gt;=8,(MID(J688,1,1)&amp;MID(J688,2,3)+1),CELL("address",AB688))</f>
        <v>#VALUE!</v>
      </c>
      <c r="L688" s="98" t="e">
        <f ca="1">IF(G687&gt;=9,(MID(K688,1,1)&amp;MID(K688,2,3)+1),CELL("address",AC688))</f>
        <v>#VALUE!</v>
      </c>
      <c r="M688" s="98" t="e">
        <f ca="1">IF(G687&gt;=10,(MID(L688,1,1)&amp;MID(L688,2,3)+1),CELL("address",AD688))</f>
        <v>#VALUE!</v>
      </c>
      <c r="N688" s="98" t="e">
        <f ca="1">IF(G687&gt;=11,(MID(M688,1,1)&amp;MID(M688,2,3)+1),CELL("address",AE688))</f>
        <v>#VALUE!</v>
      </c>
      <c r="O688" s="98" t="e">
        <f ca="1">IF(G687&gt;=12,(MID(N688,1,1)&amp;MID(N688,2,3)+1),CELL("address",AF688))</f>
        <v>#VALUE!</v>
      </c>
    </row>
    <row r="689" spans="1:8" ht="15" customHeight="1">
      <c r="A689" s="277"/>
      <c r="B689" s="277"/>
      <c r="C689" s="277"/>
      <c r="D689" s="45" t="s">
        <v>171</v>
      </c>
      <c r="E689" s="69">
        <v>0.158</v>
      </c>
      <c r="F689" s="1">
        <v>0.158</v>
      </c>
      <c r="G689" s="92" t="str">
        <f>CONCATENATE(D689," - ",E689,", ")</f>
        <v>1/core PVC Alumn. Cable scrap - 0.158, </v>
      </c>
      <c r="H689" s="1"/>
    </row>
    <row r="690" spans="1:8" ht="15" customHeight="1">
      <c r="A690" s="277"/>
      <c r="B690" s="277"/>
      <c r="C690" s="277"/>
      <c r="D690" s="34" t="s">
        <v>90</v>
      </c>
      <c r="E690" s="264">
        <v>0.143</v>
      </c>
      <c r="F690" s="1">
        <v>0.049</v>
      </c>
      <c r="G690" s="92" t="str">
        <f>CONCATENATE(D690," - ",E690,", ")</f>
        <v>2/core PVC Alumn. Cable scrap - 0.143, </v>
      </c>
      <c r="H690" s="1"/>
    </row>
    <row r="691" spans="1:8" ht="15" customHeight="1">
      <c r="A691" s="51"/>
      <c r="B691" s="54"/>
      <c r="C691" s="97"/>
      <c r="D691" s="34"/>
      <c r="E691" s="264"/>
      <c r="H691" s="1"/>
    </row>
    <row r="692" spans="1:8" ht="15" customHeight="1">
      <c r="A692" s="40"/>
      <c r="B692" s="289"/>
      <c r="C692" s="290"/>
      <c r="D692" s="267"/>
      <c r="E692" s="57">
        <f>SUM(E694:E696)</f>
        <v>1.7309999999999999</v>
      </c>
      <c r="H692" s="1"/>
    </row>
    <row r="693" spans="1:18" ht="15" customHeight="1">
      <c r="A693" s="40" t="s">
        <v>5</v>
      </c>
      <c r="B693" s="277" t="s">
        <v>17</v>
      </c>
      <c r="C693" s="277"/>
      <c r="D693" s="258" t="s">
        <v>18</v>
      </c>
      <c r="E693" s="39" t="s">
        <v>7</v>
      </c>
      <c r="F693" s="98"/>
      <c r="G693" s="93" t="str">
        <f>CONCATENATE("Cable Scrap, Lying at ",B694,". Quantity in MT - ")</f>
        <v>Cable Scrap, Lying at OL Fazilka. Quantity in MT - </v>
      </c>
      <c r="H693" s="274" t="str">
        <f ca="1">CONCATENATE(G693,G694,(INDIRECT(I694)),(INDIRECT(J694)),(INDIRECT(K694)),(INDIRECT(L694)),(INDIRECT(M694)),(INDIRECT(N694)),(INDIRECT(O694)),(INDIRECT(P694)),(INDIRECT(Q694)),(INDIRECT(R694)))</f>
        <v>Cable Scrap, Lying at OL Fazilka. Quantity in MT - 2/core PVC Alumn. Cable scrap - 0.106, 4/core PVC Alumn. Cable scrap - 0.471, 3/ core XLPE Alu cable scrap - 1.154, </v>
      </c>
      <c r="I693" s="98" t="str">
        <f aca="true" ca="1" t="array" ref="I693">CELL("address",INDEX(G693:G717,MATCH(TRUE,ISBLANK(G693:G717),0)))</f>
        <v>$G$697</v>
      </c>
      <c r="J693" s="98">
        <f aca="true" t="array" ref="J693">MATCH(TRUE,ISBLANK(G693:G717),0)</f>
        <v>5</v>
      </c>
      <c r="K693" s="98">
        <f>J693-3</f>
        <v>2</v>
      </c>
      <c r="L693" s="98"/>
      <c r="M693" s="98"/>
      <c r="N693" s="98"/>
      <c r="O693" s="98"/>
      <c r="P693" s="98"/>
      <c r="Q693" s="98"/>
      <c r="R693" s="98"/>
    </row>
    <row r="694" spans="1:18" ht="15" customHeight="1">
      <c r="A694" s="277" t="s">
        <v>253</v>
      </c>
      <c r="B694" s="277" t="s">
        <v>112</v>
      </c>
      <c r="C694" s="277"/>
      <c r="D694" s="45" t="s">
        <v>90</v>
      </c>
      <c r="E694" s="69">
        <v>0.106</v>
      </c>
      <c r="F694" s="98"/>
      <c r="G694" s="92" t="str">
        <f>CONCATENATE(D694," - ",E694,", ")</f>
        <v>2/core PVC Alumn. Cable scrap - 0.106, </v>
      </c>
      <c r="H694" s="274"/>
      <c r="I694" s="98" t="str">
        <f ca="1">IF(J693&gt;=3,(MID(I693,2,1)&amp;MID(I693,4,3)-K693),CELL("address",Z694))</f>
        <v>G695</v>
      </c>
      <c r="J694" s="98" t="str">
        <f ca="1">IF(J693&gt;=4,(MID(I694,1,1)&amp;MID(I694,2,3)+1),CELL("address",AA694))</f>
        <v>G696</v>
      </c>
      <c r="K694" s="98" t="str">
        <f ca="1">IF(J693&gt;=5,(MID(J694,1,1)&amp;MID(J694,2,3)+1),CELL("address",AB694))</f>
        <v>G697</v>
      </c>
      <c r="L694" s="98" t="str">
        <f ca="1">IF(J693&gt;=6,(MID(K694,1,1)&amp;MID(K694,2,3)+1),CELL("address",AC694))</f>
        <v>$AC$694</v>
      </c>
      <c r="M694" s="98" t="str">
        <f ca="1">IF(J693&gt;=7,(MID(L694,1,1)&amp;MID(L694,2,3)+1),CELL("address",AD694))</f>
        <v>$AD$694</v>
      </c>
      <c r="N694" s="98" t="str">
        <f ca="1">IF(J693&gt;=8,(MID(M694,1,1)&amp;MID(M694,2,3)+1),CELL("address",AE694))</f>
        <v>$AE$694</v>
      </c>
      <c r="O694" s="98" t="str">
        <f ca="1">IF(J693&gt;=9,(MID(N694,1,1)&amp;MID(N694,2,3)+1),CELL("address",AF694))</f>
        <v>$AF$694</v>
      </c>
      <c r="P694" s="98" t="str">
        <f ca="1">IF(J693&gt;=10,(MID(O694,1,1)&amp;MID(O694,2,3)+1),CELL("address",AG694))</f>
        <v>$AG$694</v>
      </c>
      <c r="Q694" s="98" t="str">
        <f ca="1">IF(J693&gt;=11,(MID(P694,1,1)&amp;MID(P694,2,3)+1),CELL("address",AH694))</f>
        <v>$AH$694</v>
      </c>
      <c r="R694" s="98" t="str">
        <f ca="1">IF(J693&gt;=12,(MID(Q694,1,1)&amp;MID(Q694,2,3)+1),CELL("address",AI694))</f>
        <v>$AI$694</v>
      </c>
    </row>
    <row r="695" spans="1:8" ht="15" customHeight="1">
      <c r="A695" s="277"/>
      <c r="B695" s="277"/>
      <c r="C695" s="277"/>
      <c r="D695" s="45" t="s">
        <v>91</v>
      </c>
      <c r="E695" s="69">
        <v>0.471</v>
      </c>
      <c r="G695" s="92" t="str">
        <f>CONCATENATE(D695," - ",E695,", ")</f>
        <v>4/core PVC Alumn. Cable scrap - 0.471, </v>
      </c>
      <c r="H695" s="1"/>
    </row>
    <row r="696" spans="1:8" ht="15" customHeight="1">
      <c r="A696" s="277"/>
      <c r="B696" s="277"/>
      <c r="C696" s="277"/>
      <c r="D696" s="81" t="s">
        <v>92</v>
      </c>
      <c r="E696" s="69">
        <v>1.154</v>
      </c>
      <c r="G696" s="92" t="str">
        <f>CONCATENATE(D696," - ",E696,", ")</f>
        <v>3/ core XLPE Alu cable scrap - 1.154, </v>
      </c>
      <c r="H696" s="1"/>
    </row>
    <row r="697" spans="1:8" ht="15" customHeight="1">
      <c r="A697" s="39"/>
      <c r="B697" s="41"/>
      <c r="C697" s="42"/>
      <c r="D697" s="45"/>
      <c r="E697" s="69"/>
      <c r="H697" s="1"/>
    </row>
    <row r="698" spans="1:8" ht="15" customHeight="1">
      <c r="A698" s="50"/>
      <c r="B698" s="268"/>
      <c r="C698" s="269"/>
      <c r="D698" s="80"/>
      <c r="E698" s="192">
        <f>SUM(E700:E703)</f>
        <v>3.199</v>
      </c>
      <c r="H698" s="1"/>
    </row>
    <row r="699" spans="1:18" ht="15" customHeight="1">
      <c r="A699" s="40" t="s">
        <v>5</v>
      </c>
      <c r="B699" s="275" t="s">
        <v>17</v>
      </c>
      <c r="C699" s="276"/>
      <c r="D699" s="259" t="s">
        <v>18</v>
      </c>
      <c r="E699" s="39" t="s">
        <v>7</v>
      </c>
      <c r="G699" s="93" t="str">
        <f>CONCATENATE("Cable Scrap, Lying at ",B700,". Quantity in MT - ")</f>
        <v>Cable Scrap, Lying at OL Malerkotla. Quantity in MT - </v>
      </c>
      <c r="H699" s="274" t="str">
        <f ca="1">CONCATENATE(G699,G700,(INDIRECT(I700)),(INDIRECT(J700)),(INDIRECT(K700)),(INDIRECT(L700)),(INDIRECT(M700)),(INDIRECT(N700)),(INDIRECT(O700)),(INDIRECT(P700)),(INDIRECT(Q700)),(INDIRECT(R700)))</f>
        <v>Cable Scrap, Lying at OL Malerkotla. Quantity in MT - 2/core PVC Alumn. Cable scrap - 0.512, 4/core PVC Alumn. Cable scrap - 0.688, 3/ core XLPE Alu cable scrap - 0.975, ABC cable scrap (70/95 mm) - 1.024, </v>
      </c>
      <c r="I699" s="98" t="str">
        <f aca="true" ca="1" t="array" ref="I699">CELL("address",INDEX(G699:G723,MATCH(TRUE,ISBLANK(G699:G723),0)))</f>
        <v>$G$704</v>
      </c>
      <c r="J699" s="98">
        <f aca="true" t="array" ref="J699">MATCH(TRUE,ISBLANK(G699:G723),0)</f>
        <v>6</v>
      </c>
      <c r="K699" s="98">
        <f>J699-3</f>
        <v>3</v>
      </c>
      <c r="L699" s="98"/>
      <c r="M699" s="98"/>
      <c r="N699" s="98"/>
      <c r="O699" s="98"/>
      <c r="P699" s="98"/>
      <c r="Q699" s="98"/>
      <c r="R699" s="98"/>
    </row>
    <row r="700" spans="1:18" ht="15" customHeight="1">
      <c r="A700" s="277" t="s">
        <v>265</v>
      </c>
      <c r="B700" s="277" t="s">
        <v>126</v>
      </c>
      <c r="C700" s="277"/>
      <c r="D700" s="45" t="s">
        <v>90</v>
      </c>
      <c r="E700" s="39">
        <v>0.512</v>
      </c>
      <c r="F700" s="98"/>
      <c r="G700" s="92" t="str">
        <f>CONCATENATE(D700," - ",E700,", ")</f>
        <v>2/core PVC Alumn. Cable scrap - 0.512, </v>
      </c>
      <c r="H700" s="274"/>
      <c r="I700" s="98" t="str">
        <f ca="1">IF(J699&gt;=3,(MID(I699,2,1)&amp;MID(I699,4,3)-K699),CELL("address",Z700))</f>
        <v>G701</v>
      </c>
      <c r="J700" s="98" t="str">
        <f ca="1">IF(J699&gt;=4,(MID(I700,1,1)&amp;MID(I700,2,3)+1),CELL("address",AA700))</f>
        <v>G702</v>
      </c>
      <c r="K700" s="98" t="str">
        <f ca="1">IF(J699&gt;=5,(MID(J700,1,1)&amp;MID(J700,2,3)+1),CELL("address",AB700))</f>
        <v>G703</v>
      </c>
      <c r="L700" s="98" t="str">
        <f ca="1">IF(J699&gt;=6,(MID(K700,1,1)&amp;MID(K700,2,3)+1),CELL("address",AC700))</f>
        <v>G704</v>
      </c>
      <c r="M700" s="98" t="str">
        <f ca="1">IF(J699&gt;=7,(MID(L700,1,1)&amp;MID(L700,2,3)+1),CELL("address",AD700))</f>
        <v>$AD$700</v>
      </c>
      <c r="N700" s="98" t="str">
        <f ca="1">IF(J699&gt;=8,(MID(M700,1,1)&amp;MID(M700,2,3)+1),CELL("address",AE700))</f>
        <v>$AE$700</v>
      </c>
      <c r="O700" s="98" t="str">
        <f ca="1">IF(J699&gt;=9,(MID(N700,1,1)&amp;MID(N700,2,3)+1),CELL("address",AF700))</f>
        <v>$AF$700</v>
      </c>
      <c r="P700" s="98" t="str">
        <f ca="1">IF(J699&gt;=10,(MID(O700,1,1)&amp;MID(O700,2,3)+1),CELL("address",AG700))</f>
        <v>$AG$700</v>
      </c>
      <c r="Q700" s="98" t="str">
        <f ca="1">IF(J699&gt;=11,(MID(P700,1,1)&amp;MID(P700,2,3)+1),CELL("address",AH700))</f>
        <v>$AH$700</v>
      </c>
      <c r="R700" s="98" t="str">
        <f ca="1">IF(J699&gt;=12,(MID(Q700,1,1)&amp;MID(Q700,2,3)+1),CELL("address",AI700))</f>
        <v>$AI$700</v>
      </c>
    </row>
    <row r="701" spans="1:15" ht="15" customHeight="1">
      <c r="A701" s="277"/>
      <c r="B701" s="277"/>
      <c r="C701" s="277"/>
      <c r="D701" s="45" t="s">
        <v>91</v>
      </c>
      <c r="E701" s="69">
        <v>0.688</v>
      </c>
      <c r="F701" s="98"/>
      <c r="G701" s="92" t="str">
        <f>CONCATENATE(D701," - ",E701,", ")</f>
        <v>4/core PVC Alumn. Cable scrap - 0.688, </v>
      </c>
      <c r="H701" s="98"/>
      <c r="I701" s="98" t="e">
        <f ca="1">IF(G700&gt;=6,(MID(H701,1,1)&amp;MID(H701,2,3)+1),CELL("address",Z701))</f>
        <v>#VALUE!</v>
      </c>
      <c r="J701" s="98" t="e">
        <f ca="1">IF(G700&gt;=7,(MID(I701,1,1)&amp;MID(I701,2,3)+1),CELL("address",AA701))</f>
        <v>#VALUE!</v>
      </c>
      <c r="K701" s="98" t="e">
        <f ca="1">IF(G700&gt;=8,(MID(J701,1,1)&amp;MID(J701,2,3)+1),CELL("address",AB701))</f>
        <v>#VALUE!</v>
      </c>
      <c r="L701" s="98" t="e">
        <f ca="1">IF(G700&gt;=9,(MID(K701,1,1)&amp;MID(K701,2,3)+1),CELL("address",AC701))</f>
        <v>#VALUE!</v>
      </c>
      <c r="M701" s="98" t="e">
        <f ca="1">IF(G700&gt;=10,(MID(L701,1,1)&amp;MID(L701,2,3)+1),CELL("address",AD701))</f>
        <v>#VALUE!</v>
      </c>
      <c r="N701" s="98" t="e">
        <f ca="1">IF(G700&gt;=11,(MID(M701,1,1)&amp;MID(M701,2,3)+1),CELL("address",AE701))</f>
        <v>#VALUE!</v>
      </c>
      <c r="O701" s="98" t="e">
        <f ca="1">IF(G700&gt;=12,(MID(N701,1,1)&amp;MID(N701,2,3)+1),CELL("address",AF701))</f>
        <v>#VALUE!</v>
      </c>
    </row>
    <row r="702" spans="1:8" ht="15" customHeight="1">
      <c r="A702" s="277"/>
      <c r="B702" s="277"/>
      <c r="C702" s="277"/>
      <c r="D702" s="45" t="s">
        <v>92</v>
      </c>
      <c r="E702" s="69">
        <v>0.975</v>
      </c>
      <c r="G702" s="92" t="str">
        <f>CONCATENATE(D702," - ",E702,", ")</f>
        <v>3/ core XLPE Alu cable scrap - 0.975, </v>
      </c>
      <c r="H702" s="1"/>
    </row>
    <row r="703" spans="1:8" ht="15" customHeight="1">
      <c r="A703" s="277"/>
      <c r="B703" s="277"/>
      <c r="C703" s="277"/>
      <c r="D703" s="71" t="s">
        <v>168</v>
      </c>
      <c r="E703" s="208">
        <v>1.024</v>
      </c>
      <c r="G703" s="92" t="str">
        <f>CONCATENATE(D703," - ",E703,", ")</f>
        <v>ABC cable scrap (70/95 mm) - 1.024, </v>
      </c>
      <c r="H703" s="1"/>
    </row>
    <row r="704" spans="1:8" ht="15" customHeight="1">
      <c r="A704" s="39"/>
      <c r="B704" s="41"/>
      <c r="C704" s="42"/>
      <c r="D704" s="76"/>
      <c r="E704" s="188"/>
      <c r="H704" s="1"/>
    </row>
    <row r="705" spans="1:8" ht="15" customHeight="1">
      <c r="A705" s="50"/>
      <c r="B705" s="268"/>
      <c r="C705" s="269"/>
      <c r="D705" s="80"/>
      <c r="E705" s="192">
        <f>SUM(E707:E710)</f>
        <v>4.92</v>
      </c>
      <c r="H705" s="1"/>
    </row>
    <row r="706" spans="1:18" ht="15" customHeight="1">
      <c r="A706" s="40" t="s">
        <v>5</v>
      </c>
      <c r="B706" s="275" t="s">
        <v>17</v>
      </c>
      <c r="C706" s="276"/>
      <c r="D706" s="259" t="s">
        <v>18</v>
      </c>
      <c r="E706" s="39" t="s">
        <v>7</v>
      </c>
      <c r="G706" s="93" t="str">
        <f>CONCATENATE("Cable Scrap, Lying at ",B707,". Quantity in MT - ")</f>
        <v>Cable Scrap, Lying at OL Moga. Quantity in MT - </v>
      </c>
      <c r="H706" s="274" t="str">
        <f ca="1">CONCATENATE(G706,G707,(INDIRECT(I707)),(INDIRECT(J707)),(INDIRECT(K707)),(INDIRECT(L707)),(INDIRECT(M707)),(INDIRECT(N707)),(INDIRECT(O707)),(INDIRECT(P707)),(INDIRECT(Q707)),(INDIRECT(R707)))</f>
        <v>Cable Scrap, Lying at OL Moga. Quantity in MT - 2/core PVC Alumn. Cable scrap - 1.19, 4/core PVC Alumn. Cable scrap - 1.994, 1/ core XLPE Alu cable scrap - 0.239, 3/ core XLPE Alu cable scrap - 1.497, </v>
      </c>
      <c r="I706" s="98" t="str">
        <f aca="true" ca="1" t="array" ref="I706">CELL("address",INDEX(G706:G730,MATCH(TRUE,ISBLANK(G706:G730),0)))</f>
        <v>$G$711</v>
      </c>
      <c r="J706" s="98">
        <f aca="true" t="array" ref="J706">MATCH(TRUE,ISBLANK(G706:G730),0)</f>
        <v>6</v>
      </c>
      <c r="K706" s="98">
        <f>J706-3</f>
        <v>3</v>
      </c>
      <c r="L706" s="98"/>
      <c r="M706" s="98"/>
      <c r="N706" s="98"/>
      <c r="O706" s="98"/>
      <c r="P706" s="98"/>
      <c r="Q706" s="98"/>
      <c r="R706" s="98"/>
    </row>
    <row r="707" spans="1:18" ht="15" customHeight="1">
      <c r="A707" s="277" t="s">
        <v>269</v>
      </c>
      <c r="B707" s="277" t="s">
        <v>270</v>
      </c>
      <c r="C707" s="277"/>
      <c r="D707" s="45" t="s">
        <v>90</v>
      </c>
      <c r="E707" s="39">
        <v>1.19</v>
      </c>
      <c r="G707" s="92" t="str">
        <f>CONCATENATE(D707," - ",E707,", ")</f>
        <v>2/core PVC Alumn. Cable scrap - 1.19, </v>
      </c>
      <c r="H707" s="274"/>
      <c r="I707" s="98" t="str">
        <f ca="1">IF(J706&gt;=3,(MID(I706,2,1)&amp;MID(I706,4,3)-K706),CELL("address",Z707))</f>
        <v>G708</v>
      </c>
      <c r="J707" s="98" t="str">
        <f ca="1">IF(J706&gt;=4,(MID(I707,1,1)&amp;MID(I707,2,3)+1),CELL("address",AA707))</f>
        <v>G709</v>
      </c>
      <c r="K707" s="98" t="str">
        <f ca="1">IF(J706&gt;=5,(MID(J707,1,1)&amp;MID(J707,2,3)+1),CELL("address",AB707))</f>
        <v>G710</v>
      </c>
      <c r="L707" s="98" t="str">
        <f ca="1">IF(J706&gt;=6,(MID(K707,1,1)&amp;MID(K707,2,3)+1),CELL("address",AC707))</f>
        <v>G711</v>
      </c>
      <c r="M707" s="98" t="str">
        <f ca="1">IF(J706&gt;=7,(MID(L707,1,1)&amp;MID(L707,2,3)+1),CELL("address",AD707))</f>
        <v>$AD$707</v>
      </c>
      <c r="N707" s="98" t="str">
        <f ca="1">IF(J706&gt;=8,(MID(M707,1,1)&amp;MID(M707,2,3)+1),CELL("address",AE707))</f>
        <v>$AE$707</v>
      </c>
      <c r="O707" s="98" t="str">
        <f ca="1">IF(J706&gt;=9,(MID(N707,1,1)&amp;MID(N707,2,3)+1),CELL("address",AF707))</f>
        <v>$AF$707</v>
      </c>
      <c r="P707" s="98" t="str">
        <f ca="1">IF(J706&gt;=10,(MID(O707,1,1)&amp;MID(O707,2,3)+1),CELL("address",AG707))</f>
        <v>$AG$707</v>
      </c>
      <c r="Q707" s="98" t="str">
        <f ca="1">IF(J706&gt;=11,(MID(P707,1,1)&amp;MID(P707,2,3)+1),CELL("address",AH707))</f>
        <v>$AH$707</v>
      </c>
      <c r="R707" s="98" t="str">
        <f ca="1">IF(J706&gt;=12,(MID(Q707,1,1)&amp;MID(Q707,2,3)+1),CELL("address",AI707))</f>
        <v>$AI$707</v>
      </c>
    </row>
    <row r="708" spans="1:15" ht="15" customHeight="1">
      <c r="A708" s="277"/>
      <c r="B708" s="277"/>
      <c r="C708" s="277"/>
      <c r="D708" s="45" t="s">
        <v>91</v>
      </c>
      <c r="E708" s="69">
        <v>1.994</v>
      </c>
      <c r="F708" s="98"/>
      <c r="G708" s="92" t="str">
        <f>CONCATENATE(D708," - ",E708,", ")</f>
        <v>4/core PVC Alumn. Cable scrap - 1.994, </v>
      </c>
      <c r="H708" s="98"/>
      <c r="I708" s="98"/>
      <c r="J708" s="98"/>
      <c r="K708" s="98"/>
      <c r="L708" s="98"/>
      <c r="M708" s="98"/>
      <c r="N708" s="98"/>
      <c r="O708" s="98"/>
    </row>
    <row r="709" spans="1:15" ht="15" customHeight="1">
      <c r="A709" s="277"/>
      <c r="B709" s="277"/>
      <c r="C709" s="277"/>
      <c r="D709" s="45" t="s">
        <v>97</v>
      </c>
      <c r="E709" s="69">
        <v>0.239</v>
      </c>
      <c r="F709" s="98"/>
      <c r="G709" s="92" t="str">
        <f>CONCATENATE(D709," - ",E709,", ")</f>
        <v>1/ core XLPE Alu cable scrap - 0.239, </v>
      </c>
      <c r="H709" s="98"/>
      <c r="I709" s="98" t="e">
        <f ca="1">IF(G708&gt;=6,(MID(H709,1,1)&amp;MID(H709,2,3)+1),CELL("address",Z709))</f>
        <v>#VALUE!</v>
      </c>
      <c r="J709" s="98" t="e">
        <f ca="1">IF(G708&gt;=7,(MID(I709,1,1)&amp;MID(I709,2,3)+1),CELL("address",AA709))</f>
        <v>#VALUE!</v>
      </c>
      <c r="K709" s="98" t="e">
        <f ca="1">IF(G708&gt;=8,(MID(J709,1,1)&amp;MID(J709,2,3)+1),CELL("address",AB709))</f>
        <v>#VALUE!</v>
      </c>
      <c r="L709" s="98" t="e">
        <f ca="1">IF(G708&gt;=9,(MID(K709,1,1)&amp;MID(K709,2,3)+1),CELL("address",AC709))</f>
        <v>#VALUE!</v>
      </c>
      <c r="M709" s="98" t="e">
        <f ca="1">IF(G708&gt;=10,(MID(L709,1,1)&amp;MID(L709,2,3)+1),CELL("address",AD709))</f>
        <v>#VALUE!</v>
      </c>
      <c r="N709" s="98" t="e">
        <f ca="1">IF(G708&gt;=11,(MID(M709,1,1)&amp;MID(M709,2,3)+1),CELL("address",AE709))</f>
        <v>#VALUE!</v>
      </c>
      <c r="O709" s="98" t="e">
        <f ca="1">IF(G708&gt;=12,(MID(N709,1,1)&amp;MID(N709,2,3)+1),CELL("address",AF709))</f>
        <v>#VALUE!</v>
      </c>
    </row>
    <row r="710" spans="1:8" ht="15" customHeight="1">
      <c r="A710" s="277"/>
      <c r="B710" s="277"/>
      <c r="C710" s="277"/>
      <c r="D710" s="45" t="s">
        <v>92</v>
      </c>
      <c r="E710" s="208">
        <v>1.497</v>
      </c>
      <c r="G710" s="92" t="str">
        <f>CONCATENATE(D710," - ",E710,", ")</f>
        <v>3/ core XLPE Alu cable scrap - 1.497, </v>
      </c>
      <c r="H710" s="1"/>
    </row>
    <row r="711" spans="1:8" ht="15" customHeight="1">
      <c r="A711" s="39"/>
      <c r="B711" s="41"/>
      <c r="C711" s="42"/>
      <c r="D711" s="34"/>
      <c r="E711" s="188"/>
      <c r="H711" s="1"/>
    </row>
    <row r="712" spans="1:8" ht="15" customHeight="1">
      <c r="A712" s="12" t="s">
        <v>13</v>
      </c>
      <c r="B712" s="13"/>
      <c r="C712" s="9"/>
      <c r="D712" s="34"/>
      <c r="E712" s="193"/>
      <c r="H712" s="1"/>
    </row>
    <row r="713" spans="1:15" ht="15" customHeight="1">
      <c r="A713" s="53"/>
      <c r="B713" s="54"/>
      <c r="C713" s="55"/>
      <c r="D713" s="55"/>
      <c r="E713" s="175">
        <f>SUM(E715:E716)</f>
        <v>22.312</v>
      </c>
      <c r="F713" s="98"/>
      <c r="G713" s="98"/>
      <c r="H713" s="98"/>
      <c r="I713" s="98"/>
      <c r="J713" s="98"/>
      <c r="K713" s="98"/>
      <c r="L713" s="98"/>
      <c r="M713" s="98"/>
      <c r="N713" s="98"/>
      <c r="O713" s="98"/>
    </row>
    <row r="714" spans="1:18" ht="15" customHeight="1">
      <c r="A714" s="277" t="s">
        <v>5</v>
      </c>
      <c r="B714" s="277"/>
      <c r="C714" s="56" t="s">
        <v>17</v>
      </c>
      <c r="D714" s="258" t="s">
        <v>18</v>
      </c>
      <c r="E714" s="39" t="s">
        <v>7</v>
      </c>
      <c r="F714" s="98"/>
      <c r="G714" s="93" t="str">
        <f>CONCATENATE("Misc. Iron Scrap, Lying at ",C715,". Quantity in MT - ")</f>
        <v>Misc. Iron Scrap, Lying at Pilot W/Shop Sri Muktsar Sahib. Quantity in MT - </v>
      </c>
      <c r="H714" s="274" t="str">
        <f ca="1">CONCATENATE(G714,G715,(INDIRECT(I715)),(INDIRECT(J715)),(INDIRECT(K715)),(INDIRECT(L715)),(INDIRECT(M715)),(INDIRECT(N715)),(INDIRECT(O715)),(INDIRECT(P715)),(INDIRECT(Q715)),(INDIRECT(R715)),".")</f>
        <v>Misc. Iron Scrap, Lying at Pilot W/Shop Sri Muktsar Sahib. Quantity in MT - MS iron scrap / GI scrap - 10.182, HT wire scrap off size - 12.13, .</v>
      </c>
      <c r="I714" s="98" t="str">
        <f aca="true" ca="1" t="array" ref="I714">CELL("address",INDEX(G714:G732,MATCH(TRUE,ISBLANK(G714:G732),0)))</f>
        <v>$G$717</v>
      </c>
      <c r="J714" s="98">
        <f aca="true" t="array" ref="J714">MATCH(TRUE,ISBLANK(G714:G732),0)</f>
        <v>4</v>
      </c>
      <c r="K714" s="98">
        <f>J714-3</f>
        <v>1</v>
      </c>
      <c r="L714" s="98"/>
      <c r="M714" s="98"/>
      <c r="N714" s="98"/>
      <c r="O714" s="98"/>
      <c r="P714" s="98"/>
      <c r="Q714" s="98"/>
      <c r="R714" s="98"/>
    </row>
    <row r="715" spans="1:18" ht="15" customHeight="1">
      <c r="A715" s="292" t="s">
        <v>21</v>
      </c>
      <c r="B715" s="358"/>
      <c r="C715" s="284" t="s">
        <v>19</v>
      </c>
      <c r="D715" s="40" t="s">
        <v>20</v>
      </c>
      <c r="E715" s="69">
        <v>10.182</v>
      </c>
      <c r="G715" s="92" t="str">
        <f>CONCATENATE(D715," - ",E715,", ")</f>
        <v>MS iron scrap / GI scrap - 10.182, </v>
      </c>
      <c r="H715" s="274"/>
      <c r="I715" s="98" t="str">
        <f ca="1">IF(J714&gt;=3,(MID(I714,2,1)&amp;MID(I714,4,3)-K714),CELL("address",Z715))</f>
        <v>G716</v>
      </c>
      <c r="J715" s="98" t="str">
        <f ca="1">IF(J714&gt;=4,(MID(I715,1,1)&amp;MID(I715,2,3)+1),CELL("address",AA715))</f>
        <v>G717</v>
      </c>
      <c r="K715" s="98" t="str">
        <f ca="1">IF(J714&gt;=5,(MID(J715,1,1)&amp;MID(J715,2,3)+1),CELL("address",AB715))</f>
        <v>$AB$715</v>
      </c>
      <c r="L715" s="98" t="str">
        <f ca="1">IF(J714&gt;=6,(MID(K715,1,1)&amp;MID(K715,2,3)+1),CELL("address",AC715))</f>
        <v>$AC$715</v>
      </c>
      <c r="M715" s="98" t="str">
        <f ca="1">IF(J714&gt;=7,(MID(L715,1,1)&amp;MID(L715,2,3)+1),CELL("address",AD715))</f>
        <v>$AD$715</v>
      </c>
      <c r="N715" s="98" t="str">
        <f ca="1">IF(J714&gt;=8,(MID(M715,1,1)&amp;MID(M715,2,3)+1),CELL("address",AE715))</f>
        <v>$AE$715</v>
      </c>
      <c r="O715" s="98" t="str">
        <f ca="1">IF(J714&gt;=9,(MID(N715,1,1)&amp;MID(N715,2,3)+1),CELL("address",AF715))</f>
        <v>$AF$715</v>
      </c>
      <c r="P715" s="98" t="str">
        <f ca="1">IF(J714&gt;=10,(MID(O715,1,1)&amp;MID(O715,2,3)+1),CELL("address",AG715))</f>
        <v>$AG$715</v>
      </c>
      <c r="Q715" s="98" t="str">
        <f ca="1">IF(J714&gt;=11,(MID(P715,1,1)&amp;MID(P715,2,3)+1),CELL("address",AH715))</f>
        <v>$AH$715</v>
      </c>
      <c r="R715" s="98" t="str">
        <f ca="1">IF(J714&gt;=12,(MID(Q715,1,1)&amp;MID(Q715,2,3)+1),CELL("address",AI715))</f>
        <v>$AI$715</v>
      </c>
    </row>
    <row r="716" spans="1:8" ht="15" customHeight="1">
      <c r="A716" s="337"/>
      <c r="B716" s="338"/>
      <c r="C716" s="296"/>
      <c r="D716" s="40" t="s">
        <v>71</v>
      </c>
      <c r="E716" s="69">
        <v>12.13</v>
      </c>
      <c r="G716" s="92" t="str">
        <f>CONCATENATE(D716," - ",E716,", ")</f>
        <v>HT wire scrap off size - 12.13, </v>
      </c>
      <c r="H716" s="1"/>
    </row>
    <row r="717" spans="1:8" ht="15" customHeight="1">
      <c r="A717" s="39"/>
      <c r="B717" s="41"/>
      <c r="C717" s="48"/>
      <c r="D717" s="38"/>
      <c r="E717" s="196"/>
      <c r="G717" s="92"/>
      <c r="H717" s="1"/>
    </row>
    <row r="718" spans="1:15" ht="15" customHeight="1">
      <c r="A718" s="53"/>
      <c r="B718" s="54"/>
      <c r="C718" s="55"/>
      <c r="D718" s="55"/>
      <c r="E718" s="175">
        <f>SUM(E720:E721)</f>
        <v>19.325</v>
      </c>
      <c r="F718" s="98"/>
      <c r="G718" s="98"/>
      <c r="H718" s="98"/>
      <c r="I718" s="98"/>
      <c r="J718" s="98"/>
      <c r="K718" s="98"/>
      <c r="L718" s="98"/>
      <c r="M718" s="98"/>
      <c r="N718" s="98"/>
      <c r="O718" s="98"/>
    </row>
    <row r="719" spans="1:18" ht="15" customHeight="1">
      <c r="A719" s="277" t="s">
        <v>5</v>
      </c>
      <c r="B719" s="277"/>
      <c r="C719" s="56" t="s">
        <v>17</v>
      </c>
      <c r="D719" s="258" t="s">
        <v>18</v>
      </c>
      <c r="E719" s="39" t="s">
        <v>7</v>
      </c>
      <c r="F719" s="98"/>
      <c r="G719" s="93" t="str">
        <f>CONCATENATE("Misc. Iron Scrap, Lying at ",C720,". Quantity in MT - ")</f>
        <v>Misc. Iron Scrap, Lying at Pilot Workshop Mohali. Quantity in MT - </v>
      </c>
      <c r="H719" s="274" t="str">
        <f ca="1">CONCATENATE(G719,G720,(INDIRECT(I720)),(INDIRECT(J720)),(INDIRECT(K720)),(INDIRECT(L720)),(INDIRECT(M720)),(INDIRECT(N720)),(INDIRECT(O720)),(INDIRECT(P720)),(INDIRECT(Q720)),(INDIRECT(R720)),".")</f>
        <v>Misc. Iron Scrap, Lying at Pilot Workshop Mohali. Quantity in MT - HT Wire scrap &amp; other intermingled iron scrap - 14, MS iron scrap ( MS sections, scrapped T&amp;P etc) - 5.325, .</v>
      </c>
      <c r="I719" s="98" t="str">
        <f aca="true" ca="1" t="array" ref="I719">CELL("address",INDEX(G719:G737,MATCH(TRUE,ISBLANK(G719:G737),0)))</f>
        <v>$G$722</v>
      </c>
      <c r="J719" s="98">
        <f aca="true" t="array" ref="J719">MATCH(TRUE,ISBLANK(G719:G737),0)</f>
        <v>4</v>
      </c>
      <c r="K719" s="98">
        <f>J719-3</f>
        <v>1</v>
      </c>
      <c r="L719" s="98"/>
      <c r="M719" s="98"/>
      <c r="N719" s="98"/>
      <c r="O719" s="98"/>
      <c r="P719" s="98"/>
      <c r="Q719" s="98"/>
      <c r="R719" s="98"/>
    </row>
    <row r="720" spans="1:18" ht="15" customHeight="1">
      <c r="A720" s="277" t="s">
        <v>30</v>
      </c>
      <c r="B720" s="277"/>
      <c r="C720" s="284" t="s">
        <v>54</v>
      </c>
      <c r="D720" s="42" t="s">
        <v>55</v>
      </c>
      <c r="E720" s="69">
        <v>14</v>
      </c>
      <c r="G720" s="92" t="str">
        <f>CONCATENATE(D720," - ",E720,", ")</f>
        <v>HT Wire scrap &amp; other intermingled iron scrap - 14, </v>
      </c>
      <c r="H720" s="274"/>
      <c r="I720" s="98" t="str">
        <f ca="1">IF(J719&gt;=3,(MID(I719,2,1)&amp;MID(I719,4,3)-K719),CELL("address",Z720))</f>
        <v>G721</v>
      </c>
      <c r="J720" s="98" t="str">
        <f ca="1">IF(J719&gt;=4,(MID(I720,1,1)&amp;MID(I720,2,3)+1),CELL("address",AA720))</f>
        <v>G722</v>
      </c>
      <c r="K720" s="98" t="str">
        <f ca="1">IF(J719&gt;=5,(MID(J720,1,1)&amp;MID(J720,2,3)+1),CELL("address",AB720))</f>
        <v>$AB$720</v>
      </c>
      <c r="L720" s="98" t="str">
        <f ca="1">IF(J719&gt;=6,(MID(K720,1,1)&amp;MID(K720,2,3)+1),CELL("address",AC720))</f>
        <v>$AC$720</v>
      </c>
      <c r="M720" s="98" t="str">
        <f ca="1">IF(J719&gt;=7,(MID(L720,1,1)&amp;MID(L720,2,3)+1),CELL("address",AD720))</f>
        <v>$AD$720</v>
      </c>
      <c r="N720" s="98" t="str">
        <f ca="1">IF(J719&gt;=8,(MID(M720,1,1)&amp;MID(M720,2,3)+1),CELL("address",AE720))</f>
        <v>$AE$720</v>
      </c>
      <c r="O720" s="98" t="str">
        <f ca="1">IF(J719&gt;=9,(MID(N720,1,1)&amp;MID(N720,2,3)+1),CELL("address",AF720))</f>
        <v>$AF$720</v>
      </c>
      <c r="P720" s="98" t="str">
        <f ca="1">IF(J719&gt;=10,(MID(O720,1,1)&amp;MID(O720,2,3)+1),CELL("address",AG720))</f>
        <v>$AG$720</v>
      </c>
      <c r="Q720" s="98" t="str">
        <f ca="1">IF(J719&gt;=11,(MID(P720,1,1)&amp;MID(P720,2,3)+1),CELL("address",AH720))</f>
        <v>$AH$720</v>
      </c>
      <c r="R720" s="98" t="str">
        <f ca="1">IF(J719&gt;=12,(MID(Q720,1,1)&amp;MID(Q720,2,3)+1),CELL("address",AI720))</f>
        <v>$AI$720</v>
      </c>
    </row>
    <row r="721" spans="1:8" ht="15" customHeight="1">
      <c r="A721" s="277"/>
      <c r="B721" s="277"/>
      <c r="C721" s="284"/>
      <c r="D721" s="74" t="s">
        <v>56</v>
      </c>
      <c r="E721" s="69">
        <v>5.325</v>
      </c>
      <c r="G721" s="92" t="str">
        <f>CONCATENATE(D721," - ",E721,", ")</f>
        <v>MS iron scrap ( MS sections, scrapped T&amp;P etc) - 5.325, </v>
      </c>
      <c r="H721" s="1"/>
    </row>
    <row r="722" spans="1:15" ht="15" customHeight="1">
      <c r="A722" s="39"/>
      <c r="B722" s="41"/>
      <c r="C722" s="48"/>
      <c r="D722" s="38"/>
      <c r="E722" s="196"/>
      <c r="F722" s="98"/>
      <c r="G722" s="98"/>
      <c r="H722" s="98"/>
      <c r="I722" s="98"/>
      <c r="J722" s="98"/>
      <c r="K722" s="98"/>
      <c r="L722" s="98"/>
      <c r="M722" s="98"/>
      <c r="N722" s="98"/>
      <c r="O722" s="98"/>
    </row>
    <row r="723" spans="1:15" ht="15" customHeight="1">
      <c r="A723" s="53"/>
      <c r="B723" s="54"/>
      <c r="C723" s="54"/>
      <c r="D723" s="55"/>
      <c r="E723" s="172">
        <f>SUM(E725:E725)</f>
        <v>26687</v>
      </c>
      <c r="F723" s="98"/>
      <c r="G723" s="98"/>
      <c r="H723" s="98"/>
      <c r="I723" s="98" t="str">
        <f ca="1">IF(G722&gt;=6,(MID(H723,1,1)&amp;MID(H723,2,3)+1),CELL("address",Z723))</f>
        <v>$Z$723</v>
      </c>
      <c r="J723" s="98" t="str">
        <f ca="1">IF(G722&gt;=7,(MID(I723,1,1)&amp;MID(I723,2,3)+1),CELL("address",AA723))</f>
        <v>$AA$723</v>
      </c>
      <c r="K723" s="98" t="str">
        <f ca="1">IF(G722&gt;=8,(MID(J723,1,1)&amp;MID(J723,2,3)+1),CELL("address",AB723))</f>
        <v>$AB$723</v>
      </c>
      <c r="L723" s="98" t="str">
        <f ca="1">IF(G722&gt;=9,(MID(K723,1,1)&amp;MID(K723,2,3)+1),CELL("address",AC723))</f>
        <v>$AC$723</v>
      </c>
      <c r="M723" s="98" t="str">
        <f ca="1">IF(G722&gt;=10,(MID(L723,1,1)&amp;MID(L723,2,3)+1),CELL("address",AD723))</f>
        <v>$AD$723</v>
      </c>
      <c r="N723" s="98" t="str">
        <f ca="1">IF(G722&gt;=11,(MID(M723,1,1)&amp;MID(M723,2,3)+1),CELL("address",AE723))</f>
        <v>$AE$723</v>
      </c>
      <c r="O723" s="98" t="str">
        <f ca="1">IF(G722&gt;=12,(MID(N723,1,1)&amp;MID(N723,2,3)+1),CELL("address",AF723))</f>
        <v>$AF$723</v>
      </c>
    </row>
    <row r="724" spans="1:18" ht="15" customHeight="1">
      <c r="A724" s="277" t="s">
        <v>5</v>
      </c>
      <c r="B724" s="277"/>
      <c r="C724" s="40" t="s">
        <v>17</v>
      </c>
      <c r="D724" s="258" t="s">
        <v>18</v>
      </c>
      <c r="E724" s="39" t="s">
        <v>69</v>
      </c>
      <c r="G724" s="93" t="str">
        <f>CONCATENATE("Misc. Iron Scrap, Lying at ",C725,". Quantity in No - ")</f>
        <v>Misc. Iron Scrap, Lying at S &amp; T Store Bathinda. Quantity in No - </v>
      </c>
      <c r="H724" s="274" t="str">
        <f ca="1">CONCATENATE(G724,G725,(INDIRECT(I725)),(INDIRECT(J725)),(INDIRECT(K725)),(INDIRECT(L725)),(INDIRECT(M725)),(INDIRECT(N725)),(INDIRECT(O725)),(INDIRECT(P725)),(INDIRECT(Q725)),(INDIRECT(R725)),".")</f>
        <v>Misc. Iron Scrap, Lying at S &amp; T Store Bathinda. Quantity in No - Disc Insulator Scrap - 26687, .</v>
      </c>
      <c r="I724" s="98" t="str">
        <f aca="true" ca="1" t="array" ref="I724">CELL("address",INDEX(G724:G742,MATCH(TRUE,ISBLANK(G724:G742),0)))</f>
        <v>$G$726</v>
      </c>
      <c r="J724" s="98">
        <f aca="true" t="array" ref="J724">MATCH(TRUE,ISBLANK(G724:G742),0)</f>
        <v>3</v>
      </c>
      <c r="K724" s="98">
        <f>J724-3</f>
        <v>0</v>
      </c>
      <c r="L724" s="98"/>
      <c r="M724" s="98"/>
      <c r="N724" s="98"/>
      <c r="O724" s="98"/>
      <c r="P724" s="98"/>
      <c r="Q724" s="98"/>
      <c r="R724" s="98"/>
    </row>
    <row r="725" spans="1:18" ht="15" customHeight="1">
      <c r="A725" s="292" t="s">
        <v>33</v>
      </c>
      <c r="B725" s="293"/>
      <c r="C725" s="261" t="s">
        <v>57</v>
      </c>
      <c r="D725" s="40" t="s">
        <v>70</v>
      </c>
      <c r="E725" s="173">
        <v>26687</v>
      </c>
      <c r="G725" s="92" t="str">
        <f>CONCATENATE(D725," - ",E725,", ")</f>
        <v>Disc Insulator Scrap - 26687, </v>
      </c>
      <c r="H725" s="274"/>
      <c r="I725" s="98" t="str">
        <f ca="1">IF(J724&gt;=3,(MID(I724,2,1)&amp;MID(I724,4,3)-K724),CELL("address",Z725))</f>
        <v>G726</v>
      </c>
      <c r="J725" s="98" t="str">
        <f ca="1">IF(J724&gt;=4,(MID(I725,1,1)&amp;MID(I725,2,3)+1),CELL("address",AA725))</f>
        <v>$AA$725</v>
      </c>
      <c r="K725" s="98" t="str">
        <f ca="1">IF(J724&gt;=5,(MID(J725,1,1)&amp;MID(J725,2,3)+1),CELL("address",AB725))</f>
        <v>$AB$725</v>
      </c>
      <c r="L725" s="98" t="str">
        <f ca="1">IF(J724&gt;=6,(MID(K725,1,1)&amp;MID(K725,2,3)+1),CELL("address",AC725))</f>
        <v>$AC$725</v>
      </c>
      <c r="M725" s="98" t="str">
        <f ca="1">IF(J724&gt;=7,(MID(L725,1,1)&amp;MID(L725,2,3)+1),CELL("address",AD725))</f>
        <v>$AD$725</v>
      </c>
      <c r="N725" s="98" t="str">
        <f ca="1">IF(J724&gt;=8,(MID(M725,1,1)&amp;MID(M725,2,3)+1),CELL("address",AE725))</f>
        <v>$AE$725</v>
      </c>
      <c r="O725" s="98" t="str">
        <f ca="1">IF(J724&gt;=9,(MID(N725,1,1)&amp;MID(N725,2,3)+1),CELL("address",AF725))</f>
        <v>$AF$725</v>
      </c>
      <c r="P725" s="98" t="str">
        <f ca="1">IF(J724&gt;=10,(MID(O725,1,1)&amp;MID(O725,2,3)+1),CELL("address",AG725))</f>
        <v>$AG$725</v>
      </c>
      <c r="Q725" s="98" t="str">
        <f ca="1">IF(J724&gt;=11,(MID(P725,1,1)&amp;MID(P725,2,3)+1),CELL("address",AH725))</f>
        <v>$AH$725</v>
      </c>
      <c r="R725" s="98" t="str">
        <f ca="1">IF(J724&gt;=12,(MID(Q725,1,1)&amp;MID(Q725,2,3)+1),CELL("address",AI725))</f>
        <v>$AI$725</v>
      </c>
    </row>
    <row r="726" spans="1:8" ht="15" customHeight="1">
      <c r="A726" s="39"/>
      <c r="B726" s="42"/>
      <c r="C726" s="258"/>
      <c r="D726" s="40"/>
      <c r="E726" s="174"/>
      <c r="H726" s="1"/>
    </row>
    <row r="727" spans="1:15" ht="15" customHeight="1">
      <c r="A727" s="53"/>
      <c r="B727" s="54"/>
      <c r="C727" s="54"/>
      <c r="D727" s="55"/>
      <c r="E727" s="175">
        <f>SUM(E729:E730)</f>
        <v>186.886</v>
      </c>
      <c r="F727" s="98"/>
      <c r="G727" s="98"/>
      <c r="H727" s="98"/>
      <c r="I727" s="98"/>
      <c r="J727" s="98"/>
      <c r="K727" s="98"/>
      <c r="L727" s="98"/>
      <c r="M727" s="98"/>
      <c r="N727" s="98"/>
      <c r="O727" s="98"/>
    </row>
    <row r="728" spans="1:18" ht="15" customHeight="1">
      <c r="A728" s="277" t="s">
        <v>5</v>
      </c>
      <c r="B728" s="277"/>
      <c r="C728" s="40" t="s">
        <v>17</v>
      </c>
      <c r="D728" s="258" t="s">
        <v>18</v>
      </c>
      <c r="E728" s="39" t="s">
        <v>7</v>
      </c>
      <c r="F728" s="228"/>
      <c r="G728" s="93" t="str">
        <f>CONCATENATE("Misc. Iron Scrap, Lying at ",C729,". Quantity in MT - ")</f>
        <v>Misc. Iron Scrap, Lying at S &amp; T Store Bathinda. Quantity in MT - </v>
      </c>
      <c r="H728" s="274" t="str">
        <f ca="1">CONCATENATE(G728,G729,(INDIRECT(I729)),(INDIRECT(J729)),(INDIRECT(K729)),(INDIRECT(L729)),(INDIRECT(M729)),(INDIRECT(N729)),(INDIRECT(O729)),(INDIRECT(P729)),(INDIRECT(Q729)),(INDIRECT(R729)),".")</f>
        <v>Misc. Iron Scrap, Lying at S &amp; T Store Bathinda. Quantity in MT - MS Rail scrap - 181.996, Earthwire GSL scrap - 4.89, .</v>
      </c>
      <c r="I728" s="98" t="str">
        <f aca="true" ca="1" t="array" ref="I728">CELL("address",INDEX(G728:G746,MATCH(TRUE,ISBLANK(G728:G746),0)))</f>
        <v>$G$731</v>
      </c>
      <c r="J728" s="98">
        <f aca="true" t="array" ref="J728">MATCH(TRUE,ISBLANK(G728:G746),0)</f>
        <v>4</v>
      </c>
      <c r="K728" s="98">
        <f>J728-3</f>
        <v>1</v>
      </c>
      <c r="L728" s="98"/>
      <c r="M728" s="98"/>
      <c r="N728" s="98"/>
      <c r="O728" s="98"/>
      <c r="P728" s="98"/>
      <c r="Q728" s="98"/>
      <c r="R728" s="98"/>
    </row>
    <row r="729" spans="1:18" ht="15" customHeight="1">
      <c r="A729" s="277" t="s">
        <v>51</v>
      </c>
      <c r="B729" s="277"/>
      <c r="C729" s="284" t="s">
        <v>57</v>
      </c>
      <c r="D729" s="272" t="s">
        <v>61</v>
      </c>
      <c r="E729" s="264">
        <v>181.996</v>
      </c>
      <c r="F729" s="228">
        <v>123.916</v>
      </c>
      <c r="G729" s="92" t="str">
        <f>CONCATENATE(D729," - ",E729,", ")</f>
        <v>MS Rail scrap - 181.996, </v>
      </c>
      <c r="H729" s="274"/>
      <c r="I729" s="98" t="str">
        <f ca="1">IF(J728&gt;=3,(MID(I728,2,1)&amp;MID(I728,4,3)-K728),CELL("address",Z729))</f>
        <v>G730</v>
      </c>
      <c r="J729" s="98" t="str">
        <f ca="1">IF(J728&gt;=4,(MID(I729,1,1)&amp;MID(I729,2,3)+1),CELL("address",AA729))</f>
        <v>G731</v>
      </c>
      <c r="K729" s="98" t="str">
        <f ca="1">IF(J728&gt;=5,(MID(J729,1,1)&amp;MID(J729,2,3)+1),CELL("address",AB729))</f>
        <v>$AB$729</v>
      </c>
      <c r="L729" s="98" t="str">
        <f ca="1">IF(J728&gt;=6,(MID(K729,1,1)&amp;MID(K729,2,3)+1),CELL("address",AC729))</f>
        <v>$AC$729</v>
      </c>
      <c r="M729" s="98" t="str">
        <f ca="1">IF(J728&gt;=7,(MID(L729,1,1)&amp;MID(L729,2,3)+1),CELL("address",AD729))</f>
        <v>$AD$729</v>
      </c>
      <c r="N729" s="98" t="str">
        <f ca="1">IF(J728&gt;=8,(MID(M729,1,1)&amp;MID(M729,2,3)+1),CELL("address",AE729))</f>
        <v>$AE$729</v>
      </c>
      <c r="O729" s="98" t="str">
        <f ca="1">IF(J728&gt;=9,(MID(N729,1,1)&amp;MID(N729,2,3)+1),CELL("address",AF729))</f>
        <v>$AF$729</v>
      </c>
      <c r="P729" s="98" t="str">
        <f ca="1">IF(J728&gt;=10,(MID(O729,1,1)&amp;MID(O729,2,3)+1),CELL("address",AG729))</f>
        <v>$AG$729</v>
      </c>
      <c r="Q729" s="98" t="str">
        <f ca="1">IF(J728&gt;=11,(MID(P729,1,1)&amp;MID(P729,2,3)+1),CELL("address",AH729))</f>
        <v>$AH$729</v>
      </c>
      <c r="R729" s="98" t="str">
        <f ca="1">IF(J728&gt;=12,(MID(Q729,1,1)&amp;MID(Q729,2,3)+1),CELL("address",AI729))</f>
        <v>$AI$729</v>
      </c>
    </row>
    <row r="730" spans="1:15" ht="15" customHeight="1">
      <c r="A730" s="277"/>
      <c r="B730" s="277"/>
      <c r="C730" s="284"/>
      <c r="D730" s="272" t="s">
        <v>142</v>
      </c>
      <c r="E730" s="264">
        <v>4.89</v>
      </c>
      <c r="F730" s="98">
        <v>4.352</v>
      </c>
      <c r="G730" s="92" t="str">
        <f>CONCATENATE(D730," - ",E730,", ")</f>
        <v>Earthwire GSL scrap - 4.89, </v>
      </c>
      <c r="H730" s="98"/>
      <c r="I730" s="98"/>
      <c r="J730" s="98"/>
      <c r="K730" s="98"/>
      <c r="L730" s="98"/>
      <c r="M730" s="98"/>
      <c r="N730" s="98"/>
      <c r="O730" s="98"/>
    </row>
    <row r="731" spans="1:8" ht="15" customHeight="1">
      <c r="A731" s="39"/>
      <c r="B731" s="41"/>
      <c r="C731" s="48"/>
      <c r="D731" s="41"/>
      <c r="E731" s="58"/>
      <c r="F731" s="121"/>
      <c r="H731" s="1"/>
    </row>
    <row r="732" spans="1:8" ht="15" customHeight="1">
      <c r="A732" s="53"/>
      <c r="B732" s="54"/>
      <c r="C732" s="54"/>
      <c r="D732" s="56"/>
      <c r="E732" s="57">
        <f>SUM(E734:E736)</f>
        <v>3.0149999999999997</v>
      </c>
      <c r="F732" s="229"/>
      <c r="H732" s="1"/>
    </row>
    <row r="733" spans="1:18" ht="15" customHeight="1">
      <c r="A733" s="277" t="s">
        <v>5</v>
      </c>
      <c r="B733" s="277"/>
      <c r="C733" s="40" t="s">
        <v>17</v>
      </c>
      <c r="D733" s="258" t="s">
        <v>18</v>
      </c>
      <c r="E733" s="39" t="s">
        <v>7</v>
      </c>
      <c r="F733" s="98"/>
      <c r="G733" s="93" t="str">
        <f>CONCATENATE("Misc. Iron Scrap, Lying at ",C734,". Quantity in MT - ")</f>
        <v>Misc. Iron Scrap, Lying at CS Ferozepur. Quantity in MT - </v>
      </c>
      <c r="H733" s="274" t="str">
        <f ca="1">CONCATENATE(G733,G734,(INDIRECT(I734)),(INDIRECT(J734)),(INDIRECT(K734)),(INDIRECT(L734)),(INDIRECT(M734)),(INDIRECT(N734)),(INDIRECT(O734)),(INDIRECT(P734)),(INDIRECT(Q734)),(INDIRECT(R734)),".")</f>
        <v>Misc. Iron Scrap, Lying at CS Ferozepur. Quantity in MT - MS iron scrap - 2.649, Teen Patra scrap - 0.32, G.I. Scrap - 0.046, .</v>
      </c>
      <c r="I733" s="98" t="str">
        <f aca="true" ca="1" t="array" ref="I733">CELL("address",INDEX(G733:G751,MATCH(TRUE,ISBLANK(G733:G751),0)))</f>
        <v>$G$737</v>
      </c>
      <c r="J733" s="98">
        <f aca="true" t="array" ref="J733">MATCH(TRUE,ISBLANK(G733:G751),0)</f>
        <v>5</v>
      </c>
      <c r="K733" s="98">
        <f>J733-3</f>
        <v>2</v>
      </c>
      <c r="L733" s="98"/>
      <c r="M733" s="98"/>
      <c r="N733" s="98"/>
      <c r="O733" s="98"/>
      <c r="P733" s="98"/>
      <c r="Q733" s="98"/>
      <c r="R733" s="98"/>
    </row>
    <row r="734" spans="1:18" ht="15" customHeight="1">
      <c r="A734" s="277" t="s">
        <v>65</v>
      </c>
      <c r="B734" s="277"/>
      <c r="C734" s="284" t="s">
        <v>99</v>
      </c>
      <c r="D734" s="42" t="s">
        <v>29</v>
      </c>
      <c r="E734" s="58">
        <v>2.649</v>
      </c>
      <c r="F734" s="98"/>
      <c r="G734" s="92" t="str">
        <f>CONCATENATE(D734," - ",E734,", ")</f>
        <v>MS iron scrap - 2.649, </v>
      </c>
      <c r="H734" s="274"/>
      <c r="I734" s="98" t="str">
        <f ca="1">IF(J733&gt;=3,(MID(I733,2,1)&amp;MID(I733,4,3)-K733),CELL("address",Z734))</f>
        <v>G735</v>
      </c>
      <c r="J734" s="98" t="str">
        <f ca="1">IF(J733&gt;=4,(MID(I734,1,1)&amp;MID(I734,2,3)+1),CELL("address",AA734))</f>
        <v>G736</v>
      </c>
      <c r="K734" s="98" t="str">
        <f ca="1">IF(J733&gt;=5,(MID(J734,1,1)&amp;MID(J734,2,3)+1),CELL("address",AB734))</f>
        <v>G737</v>
      </c>
      <c r="L734" s="98" t="str">
        <f ca="1">IF(J733&gt;=6,(MID(K734,1,1)&amp;MID(K734,2,3)+1),CELL("address",AC734))</f>
        <v>$AC$734</v>
      </c>
      <c r="M734" s="98" t="str">
        <f ca="1">IF(J733&gt;=7,(MID(L734,1,1)&amp;MID(L734,2,3)+1),CELL("address",AD734))</f>
        <v>$AD$734</v>
      </c>
      <c r="N734" s="98" t="str">
        <f ca="1">IF(J733&gt;=8,(MID(M734,1,1)&amp;MID(M734,2,3)+1),CELL("address",AE734))</f>
        <v>$AE$734</v>
      </c>
      <c r="O734" s="98" t="str">
        <f ca="1">IF(J733&gt;=9,(MID(N734,1,1)&amp;MID(N734,2,3)+1),CELL("address",AF734))</f>
        <v>$AF$734</v>
      </c>
      <c r="P734" s="98" t="str">
        <f ca="1">IF(J733&gt;=10,(MID(O734,1,1)&amp;MID(O734,2,3)+1),CELL("address",AG734))</f>
        <v>$AG$734</v>
      </c>
      <c r="Q734" s="98" t="str">
        <f ca="1">IF(J733&gt;=11,(MID(P734,1,1)&amp;MID(P734,2,3)+1),CELL("address",AH734))</f>
        <v>$AH$734</v>
      </c>
      <c r="R734" s="98" t="str">
        <f ca="1">IF(J733&gt;=12,(MID(Q734,1,1)&amp;MID(Q734,2,3)+1),CELL("address",AI734))</f>
        <v>$AI$734</v>
      </c>
    </row>
    <row r="735" spans="1:21" ht="15" customHeight="1">
      <c r="A735" s="277"/>
      <c r="B735" s="277"/>
      <c r="C735" s="284"/>
      <c r="D735" s="81" t="s">
        <v>64</v>
      </c>
      <c r="E735" s="58">
        <v>0.32</v>
      </c>
      <c r="F735" s="98"/>
      <c r="G735" s="92" t="str">
        <f>CONCATENATE(D735," - ",E735,", ")</f>
        <v>Teen Patra scrap - 0.32, </v>
      </c>
      <c r="H735" s="98"/>
      <c r="I735" s="98"/>
      <c r="J735" s="98"/>
      <c r="K735" s="98"/>
      <c r="L735" s="98"/>
      <c r="M735" s="98"/>
      <c r="N735" s="98"/>
      <c r="O735" s="98"/>
      <c r="Q735" s="353"/>
      <c r="R735" s="353"/>
      <c r="S735" s="353"/>
      <c r="T735" s="353"/>
      <c r="U735" s="353"/>
    </row>
    <row r="736" spans="1:21" ht="15" customHeight="1">
      <c r="A736" s="277"/>
      <c r="B736" s="277"/>
      <c r="C736" s="284"/>
      <c r="D736" s="81" t="s">
        <v>198</v>
      </c>
      <c r="E736" s="58">
        <v>0.046</v>
      </c>
      <c r="G736" s="92" t="str">
        <f>CONCATENATE(D736," - ",E736,", ")</f>
        <v>G.I. Scrap - 0.046, </v>
      </c>
      <c r="H736" s="1"/>
      <c r="Q736" s="354"/>
      <c r="R736" s="354"/>
      <c r="S736" s="354"/>
      <c r="T736" s="354"/>
      <c r="U736" s="354"/>
    </row>
    <row r="737" spans="1:8" ht="15" customHeight="1">
      <c r="A737" s="39"/>
      <c r="B737" s="41"/>
      <c r="C737" s="48"/>
      <c r="D737" s="38"/>
      <c r="E737" s="196"/>
      <c r="H737" s="1"/>
    </row>
    <row r="738" spans="1:15" ht="15" customHeight="1">
      <c r="A738" s="280"/>
      <c r="B738" s="281"/>
      <c r="C738" s="40"/>
      <c r="D738" s="56"/>
      <c r="E738" s="57">
        <f>SUM(E740:E741)</f>
        <v>2.452</v>
      </c>
      <c r="F738" s="98"/>
      <c r="G738" s="98"/>
      <c r="H738" s="98"/>
      <c r="I738" s="98"/>
      <c r="J738" s="98"/>
      <c r="K738" s="98"/>
      <c r="L738" s="98"/>
      <c r="M738" s="98"/>
      <c r="N738" s="98"/>
      <c r="O738" s="98"/>
    </row>
    <row r="739" spans="1:18" ht="15" customHeight="1">
      <c r="A739" s="277" t="s">
        <v>5</v>
      </c>
      <c r="B739" s="277"/>
      <c r="C739" s="40" t="s">
        <v>17</v>
      </c>
      <c r="D739" s="258" t="s">
        <v>18</v>
      </c>
      <c r="E739" s="39" t="s">
        <v>7</v>
      </c>
      <c r="F739" s="98"/>
      <c r="G739" s="93" t="str">
        <f>CONCATENATE("Misc. Iron Scrap, Lying at ",C740,". Quantity in MT - ")</f>
        <v>Misc. Iron Scrap, Lying at OL Fazilka. Quantity in MT - </v>
      </c>
      <c r="H739" s="274" t="str">
        <f ca="1">CONCATENATE(G739,G740,(INDIRECT(I740)),(INDIRECT(J740)),(INDIRECT(K740)),(INDIRECT(L740)),(INDIRECT(M740)),(INDIRECT(N740)),(INDIRECT(O740)),(INDIRECT(P740)),(INDIRECT(Q740)),(INDIRECT(R740)),".")</f>
        <v>Misc. Iron Scrap, Lying at OL Fazilka. Quantity in MT - MS iron scrap - 2.282, Teen Patra scrap - 0.17, .</v>
      </c>
      <c r="I739" s="98" t="str">
        <f aca="true" ca="1" t="array" ref="I739">CELL("address",INDEX(G739:G757,MATCH(TRUE,ISBLANK(G739:G757),0)))</f>
        <v>$G$742</v>
      </c>
      <c r="J739" s="98">
        <f aca="true" t="array" ref="J739">MATCH(TRUE,ISBLANK(G739:G757),0)</f>
        <v>4</v>
      </c>
      <c r="K739" s="98">
        <f>J739-3</f>
        <v>1</v>
      </c>
      <c r="L739" s="98"/>
      <c r="M739" s="98"/>
      <c r="N739" s="98"/>
      <c r="O739" s="98"/>
      <c r="P739" s="98"/>
      <c r="Q739" s="98"/>
      <c r="R739" s="98"/>
    </row>
    <row r="740" spans="1:18" ht="15" customHeight="1">
      <c r="A740" s="292" t="s">
        <v>66</v>
      </c>
      <c r="B740" s="293"/>
      <c r="C740" s="298" t="s">
        <v>112</v>
      </c>
      <c r="D740" s="42" t="s">
        <v>29</v>
      </c>
      <c r="E740" s="58">
        <v>2.282</v>
      </c>
      <c r="G740" s="92" t="str">
        <f>CONCATENATE(D740," - ",E740,", ")</f>
        <v>MS iron scrap - 2.282, </v>
      </c>
      <c r="H740" s="274"/>
      <c r="I740" s="98" t="str">
        <f ca="1">IF(J739&gt;=3,(MID(I739,2,1)&amp;MID(I739,4,3)-K739),CELL("address",Z740))</f>
        <v>G741</v>
      </c>
      <c r="J740" s="98" t="str">
        <f ca="1">IF(J739&gt;=4,(MID(I740,1,1)&amp;MID(I740,2,3)+1),CELL("address",AA740))</f>
        <v>G742</v>
      </c>
      <c r="K740" s="98" t="str">
        <f ca="1">IF(J739&gt;=5,(MID(J740,1,1)&amp;MID(J740,2,3)+1),CELL("address",AB740))</f>
        <v>$AB$740</v>
      </c>
      <c r="L740" s="98" t="str">
        <f ca="1">IF(J739&gt;=6,(MID(K740,1,1)&amp;MID(K740,2,3)+1),CELL("address",AC740))</f>
        <v>$AC$740</v>
      </c>
      <c r="M740" s="98" t="str">
        <f ca="1">IF(J739&gt;=7,(MID(L740,1,1)&amp;MID(L740,2,3)+1),CELL("address",AD740))</f>
        <v>$AD$740</v>
      </c>
      <c r="N740" s="98" t="str">
        <f ca="1">IF(J739&gt;=8,(MID(M740,1,1)&amp;MID(M740,2,3)+1),CELL("address",AE740))</f>
        <v>$AE$740</v>
      </c>
      <c r="O740" s="98" t="str">
        <f ca="1">IF(J739&gt;=9,(MID(N740,1,1)&amp;MID(N740,2,3)+1),CELL("address",AF740))</f>
        <v>$AF$740</v>
      </c>
      <c r="P740" s="98" t="str">
        <f ca="1">IF(J739&gt;=10,(MID(O740,1,1)&amp;MID(O740,2,3)+1),CELL("address",AG740))</f>
        <v>$AG$740</v>
      </c>
      <c r="Q740" s="98" t="str">
        <f ca="1">IF(J739&gt;=11,(MID(P740,1,1)&amp;MID(P740,2,3)+1),CELL("address",AH740))</f>
        <v>$AH$740</v>
      </c>
      <c r="R740" s="98" t="str">
        <f ca="1">IF(J739&gt;=12,(MID(Q740,1,1)&amp;MID(Q740,2,3)+1),CELL("address",AI740))</f>
        <v>$AI$740</v>
      </c>
    </row>
    <row r="741" spans="1:8" ht="15" customHeight="1">
      <c r="A741" s="294"/>
      <c r="B741" s="295"/>
      <c r="C741" s="299"/>
      <c r="D741" s="81" t="s">
        <v>64</v>
      </c>
      <c r="E741" s="58">
        <v>0.17</v>
      </c>
      <c r="G741" s="92" t="str">
        <f>CONCATENATE(D741," - ",E741,", ")</f>
        <v>Teen Patra scrap - 0.17, </v>
      </c>
      <c r="H741" s="1"/>
    </row>
    <row r="742" spans="1:15" ht="15" customHeight="1">
      <c r="A742" s="275"/>
      <c r="B742" s="276"/>
      <c r="C742" s="258"/>
      <c r="D742" s="40"/>
      <c r="E742" s="58"/>
      <c r="F742" s="98"/>
      <c r="G742" s="98"/>
      <c r="H742" s="98"/>
      <c r="I742" s="98"/>
      <c r="J742" s="98"/>
      <c r="K742" s="98"/>
      <c r="L742" s="98"/>
      <c r="M742" s="98"/>
      <c r="N742" s="98"/>
      <c r="O742" s="98"/>
    </row>
    <row r="743" spans="1:15" ht="15" customHeight="1">
      <c r="A743" s="280"/>
      <c r="B743" s="281"/>
      <c r="C743" s="40"/>
      <c r="D743" s="56"/>
      <c r="E743" s="175">
        <f>SUM(E745:E745)</f>
        <v>100</v>
      </c>
      <c r="F743" s="98"/>
      <c r="G743" s="98"/>
      <c r="H743" s="98"/>
      <c r="I743" s="98" t="str">
        <f ca="1">IF(G742&gt;=6,(MID(H743,1,1)&amp;MID(H743,2,3)+1),CELL("address",Z743))</f>
        <v>$Z$743</v>
      </c>
      <c r="J743" s="98" t="str">
        <f ca="1">IF(G742&gt;=7,(MID(I743,1,1)&amp;MID(I743,2,3)+1),CELL("address",AA743))</f>
        <v>$AA$743</v>
      </c>
      <c r="K743" s="98" t="str">
        <f ca="1">IF(G742&gt;=8,(MID(J743,1,1)&amp;MID(J743,2,3)+1),CELL("address",AB743))</f>
        <v>$AB$743</v>
      </c>
      <c r="L743" s="98" t="str">
        <f ca="1">IF(G742&gt;=9,(MID(K743,1,1)&amp;MID(K743,2,3)+1),CELL("address",AC743))</f>
        <v>$AC$743</v>
      </c>
      <c r="M743" s="98" t="str">
        <f ca="1">IF(G742&gt;=10,(MID(L743,1,1)&amp;MID(L743,2,3)+1),CELL("address",AD743))</f>
        <v>$AD$743</v>
      </c>
      <c r="N743" s="98" t="str">
        <f ca="1">IF(G742&gt;=11,(MID(M743,1,1)&amp;MID(M743,2,3)+1),CELL("address",AE743))</f>
        <v>$AE$743</v>
      </c>
      <c r="O743" s="98" t="str">
        <f ca="1">IF(G742&gt;=12,(MID(N743,1,1)&amp;MID(N743,2,3)+1),CELL("address",AF743))</f>
        <v>$AF$743</v>
      </c>
    </row>
    <row r="744" spans="1:18" ht="15" customHeight="1">
      <c r="A744" s="277" t="s">
        <v>5</v>
      </c>
      <c r="B744" s="277"/>
      <c r="C744" s="40" t="s">
        <v>17</v>
      </c>
      <c r="D744" s="258" t="s">
        <v>18</v>
      </c>
      <c r="E744" s="39" t="s">
        <v>7</v>
      </c>
      <c r="G744" s="93" t="str">
        <f>CONCATENATE("Misc. Iron Scrap, Lying at ",C745,". Quantity in MT - ")</f>
        <v>Misc. Iron Scrap, Lying at S &amp; T Store Bathinda. Quantity in MT - </v>
      </c>
      <c r="H744" s="274" t="str">
        <f ca="1">CONCATENATE(G744,G745,(INDIRECT(I745)),(INDIRECT(J745)),(INDIRECT(K745)),(INDIRECT(L745)),(INDIRECT(M745)),(INDIRECT(N745)),(INDIRECT(O745)),(INDIRECT(P745)),(INDIRECT(Q745)),(INDIRECT(R745)),".")</f>
        <v>Misc. Iron Scrap, Lying at S &amp; T Store Bathinda. Quantity in MT - MS Rail scrap - 100, .</v>
      </c>
      <c r="I744" s="98" t="str">
        <f aca="true" ca="1" t="array" ref="I744">CELL("address",INDEX(G744:G763,MATCH(TRUE,ISBLANK(G744:G763),0)))</f>
        <v>$G$746</v>
      </c>
      <c r="J744" s="98">
        <f aca="true" t="array" ref="J744">MATCH(TRUE,ISBLANK(G744:G763),0)</f>
        <v>3</v>
      </c>
      <c r="K744" s="98">
        <f>J744-3</f>
        <v>0</v>
      </c>
      <c r="L744" s="98"/>
      <c r="M744" s="98"/>
      <c r="N744" s="98"/>
      <c r="O744" s="98"/>
      <c r="P744" s="98"/>
      <c r="Q744" s="98"/>
      <c r="R744" s="98"/>
    </row>
    <row r="745" spans="1:18" ht="15" customHeight="1">
      <c r="A745" s="277" t="s">
        <v>67</v>
      </c>
      <c r="B745" s="277"/>
      <c r="C745" s="258" t="s">
        <v>57</v>
      </c>
      <c r="D745" s="40" t="s">
        <v>61</v>
      </c>
      <c r="E745" s="69">
        <v>100</v>
      </c>
      <c r="G745" s="92" t="str">
        <f>CONCATENATE(D745," - ",E745,", ")</f>
        <v>MS Rail scrap - 100, </v>
      </c>
      <c r="H745" s="274"/>
      <c r="I745" s="98" t="str">
        <f ca="1">IF(J744&gt;=3,(MID(I744,2,1)&amp;MID(I744,4,3)-K744),CELL("address",Z745))</f>
        <v>G746</v>
      </c>
      <c r="J745" s="98" t="str">
        <f ca="1">IF(J744&gt;=4,(MID(I745,1,1)&amp;MID(I745,2,3)+1),CELL("address",AA745))</f>
        <v>$AA$745</v>
      </c>
      <c r="K745" s="98" t="str">
        <f ca="1">IF(J744&gt;=5,(MID(J745,1,1)&amp;MID(J745,2,3)+1),CELL("address",AB745))</f>
        <v>$AB$745</v>
      </c>
      <c r="L745" s="98" t="str">
        <f ca="1">IF(J744&gt;=6,(MID(K745,1,1)&amp;MID(K745,2,3)+1),CELL("address",AC745))</f>
        <v>$AC$745</v>
      </c>
      <c r="M745" s="98" t="str">
        <f ca="1">IF(J744&gt;=7,(MID(L745,1,1)&amp;MID(L745,2,3)+1),CELL("address",AD745))</f>
        <v>$AD$745</v>
      </c>
      <c r="N745" s="98" t="str">
        <f ca="1">IF(J744&gt;=8,(MID(M745,1,1)&amp;MID(M745,2,3)+1),CELL("address",AE745))</f>
        <v>$AE$745</v>
      </c>
      <c r="O745" s="98" t="str">
        <f ca="1">IF(J744&gt;=9,(MID(N745,1,1)&amp;MID(N745,2,3)+1),CELL("address",AF745))</f>
        <v>$AF$745</v>
      </c>
      <c r="P745" s="98" t="str">
        <f ca="1">IF(J744&gt;=10,(MID(O745,1,1)&amp;MID(O745,2,3)+1),CELL("address",AG745))</f>
        <v>$AG$745</v>
      </c>
      <c r="Q745" s="98" t="str">
        <f ca="1">IF(J744&gt;=11,(MID(P745,1,1)&amp;MID(P745,2,3)+1),CELL("address",AH745))</f>
        <v>$AH$745</v>
      </c>
      <c r="R745" s="98" t="str">
        <f ca="1">IF(J744&gt;=12,(MID(Q745,1,1)&amp;MID(Q745,2,3)+1),CELL("address",AI745))</f>
        <v>$AI$745</v>
      </c>
    </row>
    <row r="746" spans="1:8" ht="15" customHeight="1">
      <c r="A746" s="39"/>
      <c r="B746" s="41"/>
      <c r="C746" s="48"/>
      <c r="D746" s="41"/>
      <c r="E746" s="58"/>
      <c r="H746" s="1"/>
    </row>
    <row r="747" spans="1:8" ht="15" customHeight="1">
      <c r="A747" s="53"/>
      <c r="B747" s="54"/>
      <c r="C747" s="54"/>
      <c r="D747" s="56"/>
      <c r="E747" s="57">
        <f>SUM(E749:E754)</f>
        <v>9.852</v>
      </c>
      <c r="H747" s="1"/>
    </row>
    <row r="748" spans="1:18" ht="15" customHeight="1">
      <c r="A748" s="277" t="s">
        <v>5</v>
      </c>
      <c r="B748" s="277"/>
      <c r="C748" s="40" t="s">
        <v>17</v>
      </c>
      <c r="D748" s="258" t="s">
        <v>18</v>
      </c>
      <c r="E748" s="39" t="s">
        <v>7</v>
      </c>
      <c r="G748" s="93" t="str">
        <f>CONCATENATE("Misc. Iron Scrap, Lying at ",C749,". Quantity in MT - ")</f>
        <v>Misc. Iron Scrap, Lying at CS Kotkapura. Quantity in MT - </v>
      </c>
      <c r="H748" s="274" t="str">
        <f ca="1">CONCATENATE(G748,G749,(INDIRECT(I749)),(INDIRECT(J749)),(INDIRECT(K749)),(INDIRECT(L749)),(INDIRECT(M749)),(INDIRECT(N749)),(INDIRECT(O749)),(INDIRECT(P749)),(INDIRECT(Q749)),(INDIRECT(R749)),".")</f>
        <v>Misc. Iron Scrap, Lying at CS Kotkapura. Quantity in MT - MS iron scrap - 4.418, Transformer body scrap - 3.835, Teen Patra scrap - 1.149, G.I. Scrap - 0.105, M.S. Nuts &amp; Bolts Scrap - 0.02, Tubular Poles scrap - 0.325, .</v>
      </c>
      <c r="I748" s="98" t="str">
        <f aca="true" ca="1" t="array" ref="I748">CELL("address",INDEX(G748:G767,MATCH(TRUE,ISBLANK(G748:G767),0)))</f>
        <v>$G$755</v>
      </c>
      <c r="J748" s="98">
        <f aca="true" t="array" ref="J748">MATCH(TRUE,ISBLANK(G748:G767),0)</f>
        <v>8</v>
      </c>
      <c r="K748" s="98">
        <f>J748-3</f>
        <v>5</v>
      </c>
      <c r="L748" s="98"/>
      <c r="M748" s="98"/>
      <c r="N748" s="98"/>
      <c r="O748" s="98"/>
      <c r="P748" s="98"/>
      <c r="Q748" s="98"/>
      <c r="R748" s="98"/>
    </row>
    <row r="749" spans="1:18" ht="15" customHeight="1">
      <c r="A749" s="277" t="s">
        <v>68</v>
      </c>
      <c r="B749" s="277"/>
      <c r="C749" s="284" t="s">
        <v>43</v>
      </c>
      <c r="D749" s="42" t="s">
        <v>29</v>
      </c>
      <c r="E749" s="58">
        <v>4.418</v>
      </c>
      <c r="G749" s="92" t="str">
        <f aca="true" t="shared" si="3" ref="G749:G754">CONCATENATE(D749," - ",E749,", ")</f>
        <v>MS iron scrap - 4.418, </v>
      </c>
      <c r="H749" s="274"/>
      <c r="I749" s="98" t="str">
        <f ca="1">IF(J748&gt;=3,(MID(I748,2,1)&amp;MID(I748,4,3)-K748),CELL("address",Z749))</f>
        <v>G750</v>
      </c>
      <c r="J749" s="98" t="str">
        <f ca="1">IF(J748&gt;=4,(MID(I749,1,1)&amp;MID(I749,2,3)+1),CELL("address",AA749))</f>
        <v>G751</v>
      </c>
      <c r="K749" s="98" t="str">
        <f ca="1">IF(J748&gt;=5,(MID(J749,1,1)&amp;MID(J749,2,3)+1),CELL("address",AB749))</f>
        <v>G752</v>
      </c>
      <c r="L749" s="98" t="str">
        <f ca="1">IF(J748&gt;=6,(MID(K749,1,1)&amp;MID(K749,2,3)+1),CELL("address",AC749))</f>
        <v>G753</v>
      </c>
      <c r="M749" s="98" t="str">
        <f ca="1">IF(J748&gt;=7,(MID(L749,1,1)&amp;MID(L749,2,3)+1),CELL("address",AD749))</f>
        <v>G754</v>
      </c>
      <c r="N749" s="98" t="str">
        <f ca="1">IF(J748&gt;=8,(MID(M749,1,1)&amp;MID(M749,2,3)+1),CELL("address",AE749))</f>
        <v>G755</v>
      </c>
      <c r="O749" s="98" t="str">
        <f ca="1">IF(J748&gt;=9,(MID(N749,1,1)&amp;MID(N749,2,3)+1),CELL("address",AF749))</f>
        <v>$AF$749</v>
      </c>
      <c r="P749" s="98" t="str">
        <f ca="1">IF(J748&gt;=10,(MID(O749,1,1)&amp;MID(O749,2,3)+1),CELL("address",AG749))</f>
        <v>$AG$749</v>
      </c>
      <c r="Q749" s="98" t="str">
        <f ca="1">IF(J748&gt;=11,(MID(P749,1,1)&amp;MID(P749,2,3)+1),CELL("address",AH749))</f>
        <v>$AH$749</v>
      </c>
      <c r="R749" s="98" t="str">
        <f ca="1">IF(J748&gt;=12,(MID(Q749,1,1)&amp;MID(Q749,2,3)+1),CELL("address",AI749))</f>
        <v>$AI$749</v>
      </c>
    </row>
    <row r="750" spans="1:8" ht="15" customHeight="1">
      <c r="A750" s="277"/>
      <c r="B750" s="277"/>
      <c r="C750" s="284"/>
      <c r="D750" s="81" t="s">
        <v>60</v>
      </c>
      <c r="E750" s="58">
        <v>3.835</v>
      </c>
      <c r="G750" s="92" t="str">
        <f t="shared" si="3"/>
        <v>Transformer body scrap - 3.835, </v>
      </c>
      <c r="H750" s="1"/>
    </row>
    <row r="751" spans="1:15" ht="15" customHeight="1">
      <c r="A751" s="277"/>
      <c r="B751" s="277"/>
      <c r="C751" s="284"/>
      <c r="D751" s="81" t="s">
        <v>64</v>
      </c>
      <c r="E751" s="58">
        <v>1.149</v>
      </c>
      <c r="F751" s="98"/>
      <c r="G751" s="92" t="str">
        <f t="shared" si="3"/>
        <v>Teen Patra scrap - 1.149, </v>
      </c>
      <c r="H751" s="98"/>
      <c r="I751" s="98"/>
      <c r="J751" s="98"/>
      <c r="K751" s="98"/>
      <c r="L751" s="98"/>
      <c r="M751" s="98"/>
      <c r="N751" s="98"/>
      <c r="O751" s="98"/>
    </row>
    <row r="752" spans="1:15" ht="15" customHeight="1">
      <c r="A752" s="277"/>
      <c r="B752" s="277"/>
      <c r="C752" s="284"/>
      <c r="D752" s="81" t="s">
        <v>198</v>
      </c>
      <c r="E752" s="58">
        <v>0.105</v>
      </c>
      <c r="F752" s="98"/>
      <c r="G752" s="92" t="str">
        <f t="shared" si="3"/>
        <v>G.I. Scrap - 0.105, </v>
      </c>
      <c r="H752" s="98"/>
      <c r="I752" s="98" t="e">
        <f ca="1">IF(G751&gt;=6,(MID(H752,1,1)&amp;MID(H752,2,3)+1),CELL("address",Z752))</f>
        <v>#VALUE!</v>
      </c>
      <c r="J752" s="98" t="e">
        <f ca="1">IF(G751&gt;=7,(MID(I752,1,1)&amp;MID(I752,2,3)+1),CELL("address",AA752))</f>
        <v>#VALUE!</v>
      </c>
      <c r="K752" s="98" t="e">
        <f ca="1">IF(G751&gt;=8,(MID(J752,1,1)&amp;MID(J752,2,3)+1),CELL("address",AB752))</f>
        <v>#VALUE!</v>
      </c>
      <c r="L752" s="98" t="e">
        <f ca="1">IF(G751&gt;=9,(MID(K752,1,1)&amp;MID(K752,2,3)+1),CELL("address",AC752))</f>
        <v>#VALUE!</v>
      </c>
      <c r="M752" s="98" t="e">
        <f ca="1">IF(G751&gt;=10,(MID(L752,1,1)&amp;MID(L752,2,3)+1),CELL("address",AD752))</f>
        <v>#VALUE!</v>
      </c>
      <c r="N752" s="98" t="e">
        <f ca="1">IF(G751&gt;=11,(MID(M752,1,1)&amp;MID(M752,2,3)+1),CELL("address",AE752))</f>
        <v>#VALUE!</v>
      </c>
      <c r="O752" s="98" t="e">
        <f ca="1">IF(G751&gt;=12,(MID(N752,1,1)&amp;MID(N752,2,3)+1),CELL("address",AF752))</f>
        <v>#VALUE!</v>
      </c>
    </row>
    <row r="753" spans="1:8" ht="15" customHeight="1">
      <c r="A753" s="277"/>
      <c r="B753" s="277"/>
      <c r="C753" s="284"/>
      <c r="D753" s="81" t="s">
        <v>199</v>
      </c>
      <c r="E753" s="58">
        <v>0.02</v>
      </c>
      <c r="G753" s="92" t="str">
        <f t="shared" si="3"/>
        <v>M.S. Nuts &amp; Bolts Scrap - 0.02, </v>
      </c>
      <c r="H753" s="1"/>
    </row>
    <row r="754" spans="1:8" ht="15" customHeight="1">
      <c r="A754" s="277"/>
      <c r="B754" s="277"/>
      <c r="C754" s="284"/>
      <c r="D754" s="42" t="s">
        <v>457</v>
      </c>
      <c r="E754" s="58">
        <v>0.325</v>
      </c>
      <c r="G754" s="92" t="str">
        <f t="shared" si="3"/>
        <v>Tubular Poles scrap - 0.325, </v>
      </c>
      <c r="H754" s="1"/>
    </row>
    <row r="755" spans="1:8" ht="15" customHeight="1">
      <c r="A755" s="39"/>
      <c r="B755" s="41"/>
      <c r="C755" s="48"/>
      <c r="D755" s="271"/>
      <c r="E755" s="196"/>
      <c r="H755" s="1"/>
    </row>
    <row r="756" spans="1:15" ht="15" customHeight="1">
      <c r="A756" s="53"/>
      <c r="B756" s="54"/>
      <c r="C756" s="54"/>
      <c r="D756" s="56"/>
      <c r="E756" s="57">
        <f>SUM(E758:E760)</f>
        <v>6.174</v>
      </c>
      <c r="F756" s="98"/>
      <c r="G756" s="98"/>
      <c r="H756" s="98"/>
      <c r="I756" s="98"/>
      <c r="J756" s="98"/>
      <c r="K756" s="98"/>
      <c r="L756" s="98"/>
      <c r="M756" s="98"/>
      <c r="N756" s="98"/>
      <c r="O756" s="98"/>
    </row>
    <row r="757" spans="1:18" ht="15" customHeight="1">
      <c r="A757" s="300" t="s">
        <v>5</v>
      </c>
      <c r="B757" s="300"/>
      <c r="C757" s="70" t="s">
        <v>17</v>
      </c>
      <c r="D757" s="258" t="s">
        <v>18</v>
      </c>
      <c r="E757" s="39" t="s">
        <v>7</v>
      </c>
      <c r="F757" s="98"/>
      <c r="G757" s="93" t="str">
        <f>CONCATENATE("Misc. Iron Scrap, Lying at ",C758,". Quantity in MT - ")</f>
        <v>Misc. Iron Scrap, Lying at OL Bhagta Bhai Ka. Quantity in MT - </v>
      </c>
      <c r="H757" s="274" t="str">
        <f ca="1">CONCATENATE(G757,G758,(INDIRECT(I758)),(INDIRECT(J758)),(INDIRECT(K758)),(INDIRECT(L758)),(INDIRECT(M758)),(INDIRECT(N758)),(INDIRECT(O758)),(INDIRECT(P758)),(INDIRECT(Q758)),(INDIRECT(R758)),".")</f>
        <v>Misc. Iron Scrap, Lying at OL Bhagta Bhai Ka. Quantity in MT - MS iron scrap - 0.884, Transformer body scrap - 5.258, Teen Patra scrap - 0.032, .</v>
      </c>
      <c r="I757" s="98" t="str">
        <f aca="true" ca="1" t="array" ref="I757">CELL("address",INDEX(G757:G776,MATCH(TRUE,ISBLANK(G757:G776),0)))</f>
        <v>$G$761</v>
      </c>
      <c r="J757" s="98">
        <f aca="true" t="array" ref="J757">MATCH(TRUE,ISBLANK(G757:G776),0)</f>
        <v>5</v>
      </c>
      <c r="K757" s="98">
        <f>J757-3</f>
        <v>2</v>
      </c>
      <c r="L757" s="98"/>
      <c r="M757" s="98"/>
      <c r="N757" s="98"/>
      <c r="O757" s="98"/>
      <c r="P757" s="98"/>
      <c r="Q757" s="98"/>
      <c r="R757" s="98"/>
    </row>
    <row r="758" spans="1:18" ht="15" customHeight="1">
      <c r="A758" s="277" t="s">
        <v>175</v>
      </c>
      <c r="B758" s="277"/>
      <c r="C758" s="284" t="s">
        <v>100</v>
      </c>
      <c r="D758" s="42" t="s">
        <v>29</v>
      </c>
      <c r="E758" s="69">
        <v>0.884</v>
      </c>
      <c r="G758" s="92" t="str">
        <f>CONCATENATE(D758," - ",E758,", ")</f>
        <v>MS iron scrap - 0.884, </v>
      </c>
      <c r="H758" s="274"/>
      <c r="I758" s="98" t="str">
        <f ca="1">IF(J757&gt;=3,(MID(I757,2,1)&amp;MID(I757,4,3)-K757),CELL("address",Z758))</f>
        <v>G759</v>
      </c>
      <c r="J758" s="98" t="str">
        <f ca="1">IF(J757&gt;=4,(MID(I758,1,1)&amp;MID(I758,2,3)+1),CELL("address",AA758))</f>
        <v>G760</v>
      </c>
      <c r="K758" s="98" t="str">
        <f ca="1">IF(J757&gt;=5,(MID(J758,1,1)&amp;MID(J758,2,3)+1),CELL("address",AB758))</f>
        <v>G761</v>
      </c>
      <c r="L758" s="98" t="str">
        <f ca="1">IF(J757&gt;=6,(MID(K758,1,1)&amp;MID(K758,2,3)+1),CELL("address",AC758))</f>
        <v>$AC$758</v>
      </c>
      <c r="M758" s="98" t="str">
        <f ca="1">IF(J757&gt;=7,(MID(L758,1,1)&amp;MID(L758,2,3)+1),CELL("address",AD758))</f>
        <v>$AD$758</v>
      </c>
      <c r="N758" s="98" t="str">
        <f ca="1">IF(J757&gt;=8,(MID(M758,1,1)&amp;MID(M758,2,3)+1),CELL("address",AE758))</f>
        <v>$AE$758</v>
      </c>
      <c r="O758" s="98" t="str">
        <f ca="1">IF(J757&gt;=9,(MID(N758,1,1)&amp;MID(N758,2,3)+1),CELL("address",AF758))</f>
        <v>$AF$758</v>
      </c>
      <c r="P758" s="98" t="str">
        <f ca="1">IF(J757&gt;=10,(MID(O758,1,1)&amp;MID(O758,2,3)+1),CELL("address",AG758))</f>
        <v>$AG$758</v>
      </c>
      <c r="Q758" s="98" t="str">
        <f ca="1">IF(J757&gt;=11,(MID(P758,1,1)&amp;MID(P758,2,3)+1),CELL("address",AH758))</f>
        <v>$AH$758</v>
      </c>
      <c r="R758" s="98" t="str">
        <f ca="1">IF(J757&gt;=12,(MID(Q758,1,1)&amp;MID(Q758,2,3)+1),CELL("address",AI758))</f>
        <v>$AI$758</v>
      </c>
    </row>
    <row r="759" spans="1:8" ht="15" customHeight="1">
      <c r="A759" s="277"/>
      <c r="B759" s="277"/>
      <c r="C759" s="284"/>
      <c r="D759" s="81" t="s">
        <v>60</v>
      </c>
      <c r="E759" s="69">
        <v>5.258</v>
      </c>
      <c r="G759" s="92" t="str">
        <f>CONCATENATE(D759," - ",E759,", ")</f>
        <v>Transformer body scrap - 5.258, </v>
      </c>
      <c r="H759" s="1"/>
    </row>
    <row r="760" spans="1:8" ht="15" customHeight="1">
      <c r="A760" s="277"/>
      <c r="B760" s="277"/>
      <c r="C760" s="284"/>
      <c r="D760" s="168" t="s">
        <v>64</v>
      </c>
      <c r="E760" s="196">
        <v>0.032</v>
      </c>
      <c r="F760" s="1" t="s">
        <v>320</v>
      </c>
      <c r="G760" s="92" t="str">
        <f>CONCATENATE(D760," - ",E760,", ")</f>
        <v>Teen Patra scrap - 0.032, </v>
      </c>
      <c r="H760" s="1"/>
    </row>
    <row r="761" spans="1:8" ht="15" customHeight="1">
      <c r="A761" s="39"/>
      <c r="B761" s="41"/>
      <c r="C761" s="48"/>
      <c r="D761" s="271"/>
      <c r="E761" s="196"/>
      <c r="H761" s="1"/>
    </row>
    <row r="762" spans="1:8" ht="15" customHeight="1">
      <c r="A762" s="53"/>
      <c r="B762" s="54"/>
      <c r="C762" s="54"/>
      <c r="D762" s="56"/>
      <c r="E762" s="57">
        <f>SUM(E764:E766)</f>
        <v>3.256</v>
      </c>
      <c r="H762" s="1"/>
    </row>
    <row r="763" spans="1:18" ht="15" customHeight="1">
      <c r="A763" s="300" t="s">
        <v>5</v>
      </c>
      <c r="B763" s="300"/>
      <c r="C763" s="70" t="s">
        <v>17</v>
      </c>
      <c r="D763" s="258" t="s">
        <v>18</v>
      </c>
      <c r="E763" s="39" t="s">
        <v>7</v>
      </c>
      <c r="F763" s="98"/>
      <c r="G763" s="93" t="str">
        <f>CONCATENATE("Misc. Iron Scrap, Lying at ",C764,". Quantity in MT - ")</f>
        <v>Misc. Iron Scrap, Lying at OL Shri Mukfsar Sahib. Quantity in MT - </v>
      </c>
      <c r="H763" s="274" t="str">
        <f ca="1">CONCATENATE(G763,G764,(INDIRECT(I764)),(INDIRECT(J764)),(INDIRECT(K764)),(INDIRECT(L764)),(INDIRECT(M764)),(INDIRECT(N764)),(INDIRECT(O764)),(INDIRECT(P764)),(INDIRECT(Q764)),(INDIRECT(R764)),".")</f>
        <v>Misc. Iron Scrap, Lying at OL Shri Mukfsar Sahib. Quantity in MT - MS iron scrap - 0.764, Transformer body scrap - 2.302, G.I. scrap - 0.19, .</v>
      </c>
      <c r="I763" s="98" t="str">
        <f aca="true" ca="1" t="array" ref="I763">CELL("address",INDEX(G763:G781,MATCH(TRUE,ISBLANK(G763:G781),0)))</f>
        <v>$G$767</v>
      </c>
      <c r="J763" s="98">
        <f aca="true" t="array" ref="J763">MATCH(TRUE,ISBLANK(G763:G781),0)</f>
        <v>5</v>
      </c>
      <c r="K763" s="98">
        <f>J763-3</f>
        <v>2</v>
      </c>
      <c r="L763" s="98"/>
      <c r="M763" s="98"/>
      <c r="N763" s="98"/>
      <c r="O763" s="98"/>
      <c r="P763" s="98"/>
      <c r="Q763" s="98"/>
      <c r="R763" s="98"/>
    </row>
    <row r="764" spans="1:18" ht="15" customHeight="1">
      <c r="A764" s="277" t="s">
        <v>119</v>
      </c>
      <c r="B764" s="277"/>
      <c r="C764" s="284" t="s">
        <v>327</v>
      </c>
      <c r="D764" s="42" t="s">
        <v>29</v>
      </c>
      <c r="E764" s="69">
        <v>0.764</v>
      </c>
      <c r="F764" s="98"/>
      <c r="G764" s="92" t="str">
        <f>CONCATENATE(D764," - ",E764,", ")</f>
        <v>MS iron scrap - 0.764, </v>
      </c>
      <c r="H764" s="274"/>
      <c r="I764" s="98" t="str">
        <f ca="1">IF(J763&gt;=3,(MID(I763,2,1)&amp;MID(I763,4,3)-K763),CELL("address",Z764))</f>
        <v>G765</v>
      </c>
      <c r="J764" s="98" t="str">
        <f ca="1">IF(J763&gt;=4,(MID(I764,1,1)&amp;MID(I764,2,3)+1),CELL("address",AA764))</f>
        <v>G766</v>
      </c>
      <c r="K764" s="98" t="str">
        <f ca="1">IF(J763&gt;=5,(MID(J764,1,1)&amp;MID(J764,2,3)+1),CELL("address",AB764))</f>
        <v>G767</v>
      </c>
      <c r="L764" s="98" t="str">
        <f ca="1">IF(J763&gt;=6,(MID(K764,1,1)&amp;MID(K764,2,3)+1),CELL("address",AC764))</f>
        <v>$AC$764</v>
      </c>
      <c r="M764" s="98" t="str">
        <f ca="1">IF(J763&gt;=7,(MID(L764,1,1)&amp;MID(L764,2,3)+1),CELL("address",AD764))</f>
        <v>$AD$764</v>
      </c>
      <c r="N764" s="98" t="str">
        <f ca="1">IF(J763&gt;=8,(MID(M764,1,1)&amp;MID(M764,2,3)+1),CELL("address",AE764))</f>
        <v>$AE$764</v>
      </c>
      <c r="O764" s="98" t="str">
        <f ca="1">IF(J763&gt;=9,(MID(N764,1,1)&amp;MID(N764,2,3)+1),CELL("address",AF764))</f>
        <v>$AF$764</v>
      </c>
      <c r="P764" s="98" t="str">
        <f ca="1">IF(J763&gt;=10,(MID(O764,1,1)&amp;MID(O764,2,3)+1),CELL("address",AG764))</f>
        <v>$AG$764</v>
      </c>
      <c r="Q764" s="98" t="str">
        <f ca="1">IF(J763&gt;=11,(MID(P764,1,1)&amp;MID(P764,2,3)+1),CELL("address",AH764))</f>
        <v>$AH$764</v>
      </c>
      <c r="R764" s="98" t="str">
        <f ca="1">IF(J763&gt;=12,(MID(Q764,1,1)&amp;MID(Q764,2,3)+1),CELL("address",AI764))</f>
        <v>$AI$764</v>
      </c>
    </row>
    <row r="765" spans="1:15" ht="15" customHeight="1">
      <c r="A765" s="277"/>
      <c r="B765" s="277"/>
      <c r="C765" s="284"/>
      <c r="D765" s="81" t="s">
        <v>60</v>
      </c>
      <c r="E765" s="69">
        <v>2.302</v>
      </c>
      <c r="F765" s="98"/>
      <c r="G765" s="92" t="str">
        <f>CONCATENATE(D765," - ",E765,", ")</f>
        <v>Transformer body scrap - 2.302, </v>
      </c>
      <c r="H765" s="98"/>
      <c r="I765" s="98"/>
      <c r="J765" s="98"/>
      <c r="K765" s="98"/>
      <c r="L765" s="98"/>
      <c r="M765" s="98"/>
      <c r="N765" s="98"/>
      <c r="O765" s="98"/>
    </row>
    <row r="766" spans="1:15" ht="15" customHeight="1">
      <c r="A766" s="277"/>
      <c r="B766" s="277"/>
      <c r="C766" s="284"/>
      <c r="D766" s="81" t="s">
        <v>193</v>
      </c>
      <c r="E766" s="58">
        <v>0.19</v>
      </c>
      <c r="F766" s="98"/>
      <c r="G766" s="92" t="str">
        <f>CONCATENATE(D766," - ",E766,", ")</f>
        <v>G.I. scrap - 0.19, </v>
      </c>
      <c r="H766" s="98"/>
      <c r="I766" s="98"/>
      <c r="J766" s="98"/>
      <c r="K766" s="98"/>
      <c r="L766" s="98"/>
      <c r="M766" s="98"/>
      <c r="N766" s="98"/>
      <c r="O766" s="98"/>
    </row>
    <row r="767" spans="1:15" ht="15" customHeight="1">
      <c r="A767" s="39"/>
      <c r="B767" s="41"/>
      <c r="C767" s="48"/>
      <c r="D767" s="271"/>
      <c r="E767" s="196"/>
      <c r="F767" s="98"/>
      <c r="G767" s="98"/>
      <c r="H767" s="98"/>
      <c r="I767" s="98"/>
      <c r="J767" s="98"/>
      <c r="K767" s="98"/>
      <c r="L767" s="98"/>
      <c r="M767" s="98"/>
      <c r="N767" s="98"/>
      <c r="O767" s="98"/>
    </row>
    <row r="768" spans="1:15" ht="15" customHeight="1">
      <c r="A768" s="53"/>
      <c r="B768" s="54"/>
      <c r="C768" s="54"/>
      <c r="D768" s="56"/>
      <c r="E768" s="57">
        <f>SUM(E770:E771)</f>
        <v>2.957</v>
      </c>
      <c r="F768" s="98"/>
      <c r="G768" s="98"/>
      <c r="H768" s="98"/>
      <c r="I768" s="98"/>
      <c r="J768" s="98"/>
      <c r="K768" s="98"/>
      <c r="L768" s="98"/>
      <c r="M768" s="98"/>
      <c r="N768" s="98"/>
      <c r="O768" s="98"/>
    </row>
    <row r="769" spans="1:18" ht="15" customHeight="1">
      <c r="A769" s="300" t="s">
        <v>5</v>
      </c>
      <c r="B769" s="300"/>
      <c r="C769" s="70" t="s">
        <v>17</v>
      </c>
      <c r="D769" s="258" t="s">
        <v>18</v>
      </c>
      <c r="E769" s="39" t="s">
        <v>7</v>
      </c>
      <c r="F769" s="98"/>
      <c r="G769" s="93" t="str">
        <f>CONCATENATE("Misc. Iron Scrap, Lying at ",C770,". Quantity in MT - ")</f>
        <v>Misc. Iron Scrap, Lying at OL Rajpura. Quantity in MT - </v>
      </c>
      <c r="H769" s="274" t="str">
        <f ca="1">CONCATENATE(G769,G770,(INDIRECT(I770)),(INDIRECT(J770)),(INDIRECT(K770)),(INDIRECT(L770)),(INDIRECT(M770)),(INDIRECT(N770)),(INDIRECT(O770)),(INDIRECT(P770)),(INDIRECT(Q770)),(INDIRECT(R770)),".")</f>
        <v>Misc. Iron Scrap, Lying at OL Rajpura. Quantity in MT - MS iron scrap - 1.507, MS Rail scrap - 1.45, .</v>
      </c>
      <c r="I769" s="98" t="str">
        <f aca="true" ca="1" t="array" ref="I769">CELL("address",INDEX(G769:G787,MATCH(TRUE,ISBLANK(G769:G787),0)))</f>
        <v>$G$772</v>
      </c>
      <c r="J769" s="98">
        <f aca="true" t="array" ref="J769">MATCH(TRUE,ISBLANK(G769:G787),0)</f>
        <v>4</v>
      </c>
      <c r="K769" s="98">
        <f>J769-3</f>
        <v>1</v>
      </c>
      <c r="L769" s="98"/>
      <c r="M769" s="98"/>
      <c r="N769" s="98"/>
      <c r="O769" s="98"/>
      <c r="P769" s="98"/>
      <c r="Q769" s="98"/>
      <c r="R769" s="98"/>
    </row>
    <row r="770" spans="1:18" ht="15" customHeight="1">
      <c r="A770" s="277" t="s">
        <v>200</v>
      </c>
      <c r="B770" s="277"/>
      <c r="C770" s="284" t="s">
        <v>103</v>
      </c>
      <c r="D770" s="272" t="s">
        <v>29</v>
      </c>
      <c r="E770" s="264">
        <v>1.507</v>
      </c>
      <c r="F770" s="249">
        <v>0.148</v>
      </c>
      <c r="G770" s="92" t="str">
        <f>CONCATENATE(D770," - ",E770,", ")</f>
        <v>MS iron scrap - 1.507, </v>
      </c>
      <c r="H770" s="274"/>
      <c r="I770" s="98" t="str">
        <f ca="1">IF(J769&gt;=3,(MID(I769,2,1)&amp;MID(I769,4,3)-K769),CELL("address",Z770))</f>
        <v>G771</v>
      </c>
      <c r="J770" s="98" t="str">
        <f ca="1">IF(J769&gt;=4,(MID(I770,1,1)&amp;MID(I770,2,3)+1),CELL("address",AA770))</f>
        <v>G772</v>
      </c>
      <c r="K770" s="98" t="str">
        <f ca="1">IF(J769&gt;=5,(MID(J770,1,1)&amp;MID(J770,2,3)+1),CELL("address",AB770))</f>
        <v>$AB$770</v>
      </c>
      <c r="L770" s="98" t="str">
        <f ca="1">IF(J769&gt;=6,(MID(K770,1,1)&amp;MID(K770,2,3)+1),CELL("address",AC770))</f>
        <v>$AC$770</v>
      </c>
      <c r="M770" s="98" t="str">
        <f ca="1">IF(J769&gt;=7,(MID(L770,1,1)&amp;MID(L770,2,3)+1),CELL("address",AD770))</f>
        <v>$AD$770</v>
      </c>
      <c r="N770" s="98" t="str">
        <f ca="1">IF(J769&gt;=8,(MID(M770,1,1)&amp;MID(M770,2,3)+1),CELL("address",AE770))</f>
        <v>$AE$770</v>
      </c>
      <c r="O770" s="98" t="str">
        <f ca="1">IF(J769&gt;=9,(MID(N770,1,1)&amp;MID(N770,2,3)+1),CELL("address",AF770))</f>
        <v>$AF$770</v>
      </c>
      <c r="P770" s="98" t="str">
        <f ca="1">IF(J769&gt;=10,(MID(O770,1,1)&amp;MID(O770,2,3)+1),CELL("address",AG770))</f>
        <v>$AG$770</v>
      </c>
      <c r="Q770" s="98" t="str">
        <f ca="1">IF(J769&gt;=11,(MID(P770,1,1)&amp;MID(P770,2,3)+1),CELL("address",AH770))</f>
        <v>$AH$770</v>
      </c>
      <c r="R770" s="98" t="str">
        <f ca="1">IF(J769&gt;=12,(MID(Q770,1,1)&amp;MID(Q770,2,3)+1),CELL("address",AI770))</f>
        <v>$AI$770</v>
      </c>
    </row>
    <row r="771" spans="1:15" ht="15" customHeight="1">
      <c r="A771" s="277"/>
      <c r="B771" s="277"/>
      <c r="C771" s="284"/>
      <c r="D771" s="267" t="s">
        <v>61</v>
      </c>
      <c r="E771" s="196">
        <v>1.45</v>
      </c>
      <c r="F771" s="227" t="s">
        <v>320</v>
      </c>
      <c r="G771" s="92" t="str">
        <f>CONCATENATE(D771," - ",E771,", ")</f>
        <v>MS Rail scrap - 1.45, </v>
      </c>
      <c r="H771" s="98"/>
      <c r="I771" s="98"/>
      <c r="J771" s="98"/>
      <c r="K771" s="98"/>
      <c r="L771" s="98"/>
      <c r="M771" s="98"/>
      <c r="N771" s="98"/>
      <c r="O771" s="98"/>
    </row>
    <row r="772" spans="1:15" ht="15" customHeight="1">
      <c r="A772" s="39"/>
      <c r="B772" s="41"/>
      <c r="C772" s="48"/>
      <c r="D772" s="41"/>
      <c r="E772" s="58"/>
      <c r="F772" s="98"/>
      <c r="G772" s="98"/>
      <c r="H772" s="98"/>
      <c r="I772" s="98"/>
      <c r="J772" s="98"/>
      <c r="K772" s="98"/>
      <c r="L772" s="98"/>
      <c r="M772" s="98"/>
      <c r="N772" s="98"/>
      <c r="O772" s="98"/>
    </row>
    <row r="773" spans="1:15" ht="15" customHeight="1">
      <c r="A773" s="53"/>
      <c r="B773" s="54"/>
      <c r="C773" s="54"/>
      <c r="D773" s="56"/>
      <c r="E773" s="57">
        <f>SUM(E775:E775)</f>
        <v>2</v>
      </c>
      <c r="F773" s="98"/>
      <c r="G773" s="98"/>
      <c r="H773" s="98"/>
      <c r="I773" s="98" t="str">
        <f ca="1">IF(G772&gt;=6,(MID(H773,1,1)&amp;MID(H773,2,3)+1),CELL("address",Z773))</f>
        <v>$Z$773</v>
      </c>
      <c r="J773" s="98" t="str">
        <f ca="1">IF(G772&gt;=7,(MID(I773,1,1)&amp;MID(I773,2,3)+1),CELL("address",AA773))</f>
        <v>$AA$773</v>
      </c>
      <c r="K773" s="98" t="str">
        <f ca="1">IF(G772&gt;=8,(MID(J773,1,1)&amp;MID(J773,2,3)+1),CELL("address",AB773))</f>
        <v>$AB$773</v>
      </c>
      <c r="L773" s="98" t="str">
        <f ca="1">IF(G772&gt;=9,(MID(K773,1,1)&amp;MID(K773,2,3)+1),CELL("address",AC773))</f>
        <v>$AC$773</v>
      </c>
      <c r="M773" s="98" t="str">
        <f ca="1">IF(G772&gt;=10,(MID(L773,1,1)&amp;MID(L773,2,3)+1),CELL("address",AD773))</f>
        <v>$AD$773</v>
      </c>
      <c r="N773" s="98" t="str">
        <f ca="1">IF(G772&gt;=11,(MID(M773,1,1)&amp;MID(M773,2,3)+1),CELL("address",AE773))</f>
        <v>$AE$773</v>
      </c>
      <c r="O773" s="98" t="str">
        <f ca="1">IF(G772&gt;=12,(MID(N773,1,1)&amp;MID(N773,2,3)+1),CELL("address",AF773))</f>
        <v>$AF$773</v>
      </c>
    </row>
    <row r="774" spans="1:18" ht="15" customHeight="1">
      <c r="A774" s="300" t="s">
        <v>5</v>
      </c>
      <c r="B774" s="300"/>
      <c r="C774" s="70" t="s">
        <v>17</v>
      </c>
      <c r="D774" s="258" t="s">
        <v>18</v>
      </c>
      <c r="E774" s="39" t="s">
        <v>69</v>
      </c>
      <c r="F774" s="98"/>
      <c r="G774" s="93" t="str">
        <f>CONCATENATE("U/S Tyres, Lying at ",C775,". Quantity in No - ")</f>
        <v>U/S Tyres, Lying at CS Sangrur. Quantity in No - </v>
      </c>
      <c r="H774" s="274" t="str">
        <f ca="1">CONCATENATE(G774,G775,(INDIRECT(I775)),(INDIRECT(J775)),(INDIRECT(K775)),(INDIRECT(L775)),(INDIRECT(M775)),(INDIRECT(N775)),(INDIRECT(O775)),(INDIRECT(P775)),(INDIRECT(Q775)),(INDIRECT(R775)),".")</f>
        <v>U/S Tyres, Lying at CS Sangrur. Quantity in No - U/S Tyres - 2, .</v>
      </c>
      <c r="I774" s="98" t="str">
        <f aca="true" ca="1" t="array" ref="I774">CELL("address",INDEX(G774:G792,MATCH(TRUE,ISBLANK(G774:G792),0)))</f>
        <v>$G$776</v>
      </c>
      <c r="J774" s="98">
        <f aca="true" t="array" ref="J774">MATCH(TRUE,ISBLANK(G774:G792),0)</f>
        <v>3</v>
      </c>
      <c r="K774" s="98">
        <f>J774-3</f>
        <v>0</v>
      </c>
      <c r="L774" s="98"/>
      <c r="M774" s="98"/>
      <c r="N774" s="98"/>
      <c r="O774" s="98"/>
      <c r="P774" s="98"/>
      <c r="Q774" s="98"/>
      <c r="R774" s="98"/>
    </row>
    <row r="775" spans="1:18" ht="15" customHeight="1">
      <c r="A775" s="277" t="s">
        <v>207</v>
      </c>
      <c r="B775" s="277"/>
      <c r="C775" s="258" t="s">
        <v>79</v>
      </c>
      <c r="D775" s="42" t="s">
        <v>382</v>
      </c>
      <c r="E775" s="69">
        <v>2</v>
      </c>
      <c r="F775" s="98"/>
      <c r="G775" s="92" t="str">
        <f>CONCATENATE(D775," - ",E775,", ")</f>
        <v>U/S Tyres - 2, </v>
      </c>
      <c r="H775" s="274"/>
      <c r="I775" s="98" t="str">
        <f ca="1">IF(J774&gt;=3,(MID(I774,2,1)&amp;MID(I774,4,3)-K774),CELL("address",Z775))</f>
        <v>G776</v>
      </c>
      <c r="J775" s="98" t="str">
        <f ca="1">IF(J774&gt;=4,(MID(I775,1,1)&amp;MID(I775,2,3)+1),CELL("address",AA775))</f>
        <v>$AA$775</v>
      </c>
      <c r="K775" s="98" t="str">
        <f ca="1">IF(J774&gt;=5,(MID(J775,1,1)&amp;MID(J775,2,3)+1),CELL("address",AB775))</f>
        <v>$AB$775</v>
      </c>
      <c r="L775" s="98" t="str">
        <f ca="1">IF(J774&gt;=6,(MID(K775,1,1)&amp;MID(K775,2,3)+1),CELL("address",AC775))</f>
        <v>$AC$775</v>
      </c>
      <c r="M775" s="98" t="str">
        <f ca="1">IF(J774&gt;=7,(MID(L775,1,1)&amp;MID(L775,2,3)+1),CELL("address",AD775))</f>
        <v>$AD$775</v>
      </c>
      <c r="N775" s="98" t="str">
        <f ca="1">IF(J774&gt;=8,(MID(M775,1,1)&amp;MID(M775,2,3)+1),CELL("address",AE775))</f>
        <v>$AE$775</v>
      </c>
      <c r="O775" s="98" t="str">
        <f ca="1">IF(J774&gt;=9,(MID(N775,1,1)&amp;MID(N775,2,3)+1),CELL("address",AF775))</f>
        <v>$AF$775</v>
      </c>
      <c r="P775" s="98" t="str">
        <f ca="1">IF(J774&gt;=10,(MID(O775,1,1)&amp;MID(O775,2,3)+1),CELL("address",AG775))</f>
        <v>$AG$775</v>
      </c>
      <c r="Q775" s="98" t="str">
        <f ca="1">IF(J774&gt;=11,(MID(P775,1,1)&amp;MID(P775,2,3)+1),CELL("address",AH775))</f>
        <v>$AH$775</v>
      </c>
      <c r="R775" s="98" t="str">
        <f ca="1">IF(J774&gt;=12,(MID(Q775,1,1)&amp;MID(Q775,2,3)+1),CELL("address",AI775))</f>
        <v>$AI$775</v>
      </c>
    </row>
    <row r="776" spans="1:15" ht="15" customHeight="1">
      <c r="A776" s="39"/>
      <c r="B776" s="41"/>
      <c r="C776" s="48"/>
      <c r="D776" s="41"/>
      <c r="E776" s="58"/>
      <c r="F776" s="98"/>
      <c r="G776" s="98"/>
      <c r="H776" s="98"/>
      <c r="I776" s="98"/>
      <c r="J776" s="98"/>
      <c r="K776" s="98"/>
      <c r="L776" s="98"/>
      <c r="M776" s="98"/>
      <c r="N776" s="98"/>
      <c r="O776" s="98"/>
    </row>
    <row r="777" spans="1:15" ht="15" customHeight="1">
      <c r="A777" s="53"/>
      <c r="B777" s="54"/>
      <c r="C777" s="54"/>
      <c r="D777" s="56"/>
      <c r="E777" s="57">
        <f>SUM(E779:E780)</f>
        <v>105</v>
      </c>
      <c r="F777" s="98"/>
      <c r="G777" s="98"/>
      <c r="H777" s="98"/>
      <c r="I777" s="98"/>
      <c r="J777" s="98"/>
      <c r="K777" s="98"/>
      <c r="L777" s="98"/>
      <c r="M777" s="98"/>
      <c r="N777" s="98"/>
      <c r="O777" s="98"/>
    </row>
    <row r="778" spans="1:18" ht="15" customHeight="1">
      <c r="A778" s="300" t="s">
        <v>5</v>
      </c>
      <c r="B778" s="300"/>
      <c r="C778" s="70" t="s">
        <v>17</v>
      </c>
      <c r="D778" s="258" t="s">
        <v>18</v>
      </c>
      <c r="E778" s="39" t="s">
        <v>69</v>
      </c>
      <c r="F778" s="98"/>
      <c r="G778" s="93" t="str">
        <f>CONCATENATE("U/S Tyres and Tubes, Lying at ",C779,". Quantity in No - ")</f>
        <v>U/S Tyres and Tubes, Lying at CS Patiala. Quantity in No - </v>
      </c>
      <c r="H778" s="274" t="str">
        <f ca="1">CONCATENATE(G778,G779,(INDIRECT(I779)),(INDIRECT(J779)),(INDIRECT(K779)),(INDIRECT(L779)),(INDIRECT(M779)),(INDIRECT(N779)),(INDIRECT(O779)),(INDIRECT(P779)),(INDIRECT(Q779)),(INDIRECT(R779)),".")</f>
        <v>U/S Tyres and Tubes, Lying at CS Patiala. Quantity in No - U/S Tyres - 60, U/S Tubes - 45, .</v>
      </c>
      <c r="I778" s="98" t="str">
        <f aca="true" ca="1" t="array" ref="I778">CELL("address",INDEX(G778:G796,MATCH(TRUE,ISBLANK(G778:G796),0)))</f>
        <v>$G$781</v>
      </c>
      <c r="J778" s="98">
        <f aca="true" t="array" ref="J778">MATCH(TRUE,ISBLANK(G778:G796),0)</f>
        <v>4</v>
      </c>
      <c r="K778" s="98">
        <f>J778-3</f>
        <v>1</v>
      </c>
      <c r="L778" s="98"/>
      <c r="M778" s="98"/>
      <c r="N778" s="98"/>
      <c r="O778" s="98"/>
      <c r="P778" s="98"/>
      <c r="Q778" s="98"/>
      <c r="R778" s="98"/>
    </row>
    <row r="779" spans="1:18" ht="15" customHeight="1">
      <c r="A779" s="277" t="s">
        <v>208</v>
      </c>
      <c r="B779" s="277"/>
      <c r="C779" s="284" t="s">
        <v>52</v>
      </c>
      <c r="D779" s="40" t="s">
        <v>382</v>
      </c>
      <c r="E779" s="176">
        <v>60</v>
      </c>
      <c r="F779" s="98"/>
      <c r="G779" s="92" t="str">
        <f>CONCATENATE(D779," - ",E779,", ")</f>
        <v>U/S Tyres - 60, </v>
      </c>
      <c r="H779" s="274"/>
      <c r="I779" s="98" t="str">
        <f ca="1">IF(J778&gt;=3,(MID(I778,2,1)&amp;MID(I778,4,3)-K778),CELL("address",Z779))</f>
        <v>G780</v>
      </c>
      <c r="J779" s="98" t="str">
        <f ca="1">IF(J778&gt;=4,(MID(I779,1,1)&amp;MID(I779,2,3)+1),CELL("address",AA779))</f>
        <v>G781</v>
      </c>
      <c r="K779" s="98" t="str">
        <f ca="1">IF(J778&gt;=5,(MID(J779,1,1)&amp;MID(J779,2,3)+1),CELL("address",AB779))</f>
        <v>$AB$779</v>
      </c>
      <c r="L779" s="98" t="str">
        <f ca="1">IF(J778&gt;=6,(MID(K779,1,1)&amp;MID(K779,2,3)+1),CELL("address",AC779))</f>
        <v>$AC$779</v>
      </c>
      <c r="M779" s="98" t="str">
        <f ca="1">IF(J778&gt;=7,(MID(L779,1,1)&amp;MID(L779,2,3)+1),CELL("address",AD779))</f>
        <v>$AD$779</v>
      </c>
      <c r="N779" s="98" t="str">
        <f ca="1">IF(J778&gt;=8,(MID(M779,1,1)&amp;MID(M779,2,3)+1),CELL("address",AE779))</f>
        <v>$AE$779</v>
      </c>
      <c r="O779" s="98" t="str">
        <f ca="1">IF(J778&gt;=9,(MID(N779,1,1)&amp;MID(N779,2,3)+1),CELL("address",AF779))</f>
        <v>$AF$779</v>
      </c>
      <c r="P779" s="98" t="str">
        <f ca="1">IF(J778&gt;=10,(MID(O779,1,1)&amp;MID(O779,2,3)+1),CELL("address",AG779))</f>
        <v>$AG$779</v>
      </c>
      <c r="Q779" s="98" t="str">
        <f ca="1">IF(J778&gt;=11,(MID(P779,1,1)&amp;MID(P779,2,3)+1),CELL("address",AH779))</f>
        <v>$AH$779</v>
      </c>
      <c r="R779" s="98" t="str">
        <f ca="1">IF(J778&gt;=12,(MID(Q779,1,1)&amp;MID(Q779,2,3)+1),CELL("address",AI779))</f>
        <v>$AI$779</v>
      </c>
    </row>
    <row r="780" spans="1:15" ht="15" customHeight="1">
      <c r="A780" s="277"/>
      <c r="B780" s="277"/>
      <c r="C780" s="284"/>
      <c r="D780" s="40" t="s">
        <v>383</v>
      </c>
      <c r="E780" s="176">
        <v>45</v>
      </c>
      <c r="F780" s="98"/>
      <c r="G780" s="92" t="str">
        <f>CONCATENATE(D780," - ",E780,", ")</f>
        <v>U/S Tubes - 45, </v>
      </c>
      <c r="H780" s="98"/>
      <c r="I780" s="98"/>
      <c r="J780" s="98"/>
      <c r="K780" s="98"/>
      <c r="L780" s="98"/>
      <c r="M780" s="98"/>
      <c r="N780" s="98"/>
      <c r="O780" s="98"/>
    </row>
    <row r="781" spans="1:15" ht="15" customHeight="1">
      <c r="A781" s="39"/>
      <c r="B781" s="41"/>
      <c r="C781" s="48"/>
      <c r="D781" s="271"/>
      <c r="E781" s="196"/>
      <c r="F781" s="98"/>
      <c r="G781" s="98"/>
      <c r="H781" s="98"/>
      <c r="I781" s="98"/>
      <c r="J781" s="98"/>
      <c r="K781" s="98"/>
      <c r="L781" s="98"/>
      <c r="M781" s="98"/>
      <c r="N781" s="98"/>
      <c r="O781" s="98"/>
    </row>
    <row r="782" spans="1:15" ht="15" customHeight="1">
      <c r="A782" s="53"/>
      <c r="B782" s="54"/>
      <c r="C782" s="54"/>
      <c r="D782" s="56"/>
      <c r="E782" s="57">
        <f>SUM(E784:E788)</f>
        <v>4.514</v>
      </c>
      <c r="F782" s="98"/>
      <c r="G782" s="98"/>
      <c r="H782" s="98"/>
      <c r="I782" s="98"/>
      <c r="J782" s="98"/>
      <c r="K782" s="98"/>
      <c r="L782" s="98"/>
      <c r="M782" s="98"/>
      <c r="N782" s="98"/>
      <c r="O782" s="98"/>
    </row>
    <row r="783" spans="1:18" ht="15" customHeight="1">
      <c r="A783" s="300" t="s">
        <v>5</v>
      </c>
      <c r="B783" s="300"/>
      <c r="C783" s="70" t="s">
        <v>17</v>
      </c>
      <c r="D783" s="258" t="s">
        <v>18</v>
      </c>
      <c r="E783" s="39" t="s">
        <v>7</v>
      </c>
      <c r="F783" s="98"/>
      <c r="G783" s="93" t="str">
        <f>CONCATENATE("Misc. Iron Scrap, Lying at ",C784,". Quantity in MT - ")</f>
        <v>Misc. Iron Scrap, Lying at CS Sangrur. Quantity in MT - </v>
      </c>
      <c r="H783" s="274" t="str">
        <f ca="1">CONCATENATE(G783,G784,(INDIRECT(I784)),(INDIRECT(J784)),(INDIRECT(K784)),(INDIRECT(L784)),(INDIRECT(M784)),(INDIRECT(N784)),(INDIRECT(O784)),(INDIRECT(P784)),(INDIRECT(Q784)),(INDIRECT(R784)),".")</f>
        <v>Misc. Iron Scrap, Lying at CS Sangrur. Quantity in MT - Tubular Poles - 0.155, MS iron scrap - 3.163, MS Rail scrap - 0.33, Transformer body scrap - 0.855, G.I. Scrap - 0.011, .</v>
      </c>
      <c r="I783" s="98" t="str">
        <f aca="true" ca="1" t="array" ref="I783">CELL("address",INDEX(G783:G801,MATCH(TRUE,ISBLANK(G783:G801),0)))</f>
        <v>$G$789</v>
      </c>
      <c r="J783" s="98">
        <f aca="true" t="array" ref="J783">MATCH(TRUE,ISBLANK(G783:G801),0)</f>
        <v>7</v>
      </c>
      <c r="K783" s="98">
        <f>J783-3</f>
        <v>4</v>
      </c>
      <c r="L783" s="98"/>
      <c r="M783" s="98"/>
      <c r="N783" s="98"/>
      <c r="O783" s="98"/>
      <c r="P783" s="98"/>
      <c r="Q783" s="98"/>
      <c r="R783" s="98"/>
    </row>
    <row r="784" spans="1:18" ht="15" customHeight="1">
      <c r="A784" s="277" t="s">
        <v>176</v>
      </c>
      <c r="B784" s="277"/>
      <c r="C784" s="284" t="s">
        <v>79</v>
      </c>
      <c r="D784" s="42" t="s">
        <v>388</v>
      </c>
      <c r="E784" s="69">
        <v>0.155</v>
      </c>
      <c r="F784" s="98"/>
      <c r="G784" s="92" t="str">
        <f>CONCATENATE(D784," - ",E784,", ")</f>
        <v>Tubular Poles - 0.155, </v>
      </c>
      <c r="H784" s="274"/>
      <c r="I784" s="98" t="str">
        <f ca="1">IF(J783&gt;=3,(MID(I783,2,1)&amp;MID(I783,4,3)-K783),CELL("address",Z784))</f>
        <v>G785</v>
      </c>
      <c r="J784" s="98" t="str">
        <f ca="1">IF(J783&gt;=4,(MID(I784,1,1)&amp;MID(I784,2,3)+1),CELL("address",AA784))</f>
        <v>G786</v>
      </c>
      <c r="K784" s="98" t="str">
        <f ca="1">IF(J783&gt;=5,(MID(J784,1,1)&amp;MID(J784,2,3)+1),CELL("address",AB784))</f>
        <v>G787</v>
      </c>
      <c r="L784" s="98" t="str">
        <f ca="1">IF(J783&gt;=6,(MID(K784,1,1)&amp;MID(K784,2,3)+1),CELL("address",AC784))</f>
        <v>G788</v>
      </c>
      <c r="M784" s="98" t="str">
        <f ca="1">IF(J783&gt;=7,(MID(L784,1,1)&amp;MID(L784,2,3)+1),CELL("address",AD784))</f>
        <v>G789</v>
      </c>
      <c r="N784" s="98" t="str">
        <f ca="1">IF(J783&gt;=8,(MID(M784,1,1)&amp;MID(M784,2,3)+1),CELL("address",AE784))</f>
        <v>$AE$784</v>
      </c>
      <c r="O784" s="98" t="str">
        <f ca="1">IF(J783&gt;=9,(MID(N784,1,1)&amp;MID(N784,2,3)+1),CELL("address",AF784))</f>
        <v>$AF$784</v>
      </c>
      <c r="P784" s="98" t="str">
        <f ca="1">IF(J783&gt;=10,(MID(O784,1,1)&amp;MID(O784,2,3)+1),CELL("address",AG784))</f>
        <v>$AG$784</v>
      </c>
      <c r="Q784" s="98" t="str">
        <f ca="1">IF(J783&gt;=11,(MID(P784,1,1)&amp;MID(P784,2,3)+1),CELL("address",AH784))</f>
        <v>$AH$784</v>
      </c>
      <c r="R784" s="98" t="str">
        <f ca="1">IF(J783&gt;=12,(MID(Q784,1,1)&amp;MID(Q784,2,3)+1),CELL("address",AI784))</f>
        <v>$AI$784</v>
      </c>
    </row>
    <row r="785" spans="1:15" ht="15" customHeight="1">
      <c r="A785" s="277"/>
      <c r="B785" s="277"/>
      <c r="C785" s="284"/>
      <c r="D785" s="42" t="s">
        <v>29</v>
      </c>
      <c r="E785" s="58">
        <v>3.163</v>
      </c>
      <c r="F785" s="98"/>
      <c r="G785" s="92" t="str">
        <f>CONCATENATE(D785," - ",E785,", ")</f>
        <v>MS iron scrap - 3.163, </v>
      </c>
      <c r="H785" s="98"/>
      <c r="I785" s="98"/>
      <c r="J785" s="98"/>
      <c r="K785" s="98"/>
      <c r="L785" s="98"/>
      <c r="M785" s="98"/>
      <c r="N785" s="98"/>
      <c r="O785" s="98"/>
    </row>
    <row r="786" spans="1:15" ht="15" customHeight="1">
      <c r="A786" s="277"/>
      <c r="B786" s="277"/>
      <c r="C786" s="284"/>
      <c r="D786" s="42" t="s">
        <v>61</v>
      </c>
      <c r="E786" s="58">
        <v>0.33</v>
      </c>
      <c r="F786" s="98"/>
      <c r="G786" s="92" t="str">
        <f>CONCATENATE(D786," - ",E786,", ")</f>
        <v>MS Rail scrap - 0.33, </v>
      </c>
      <c r="H786" s="98"/>
      <c r="I786" s="98" t="e">
        <f ca="1">IF(G785&gt;=6,(MID(H786,1,1)&amp;MID(H786,2,3)+1),CELL("address",Z786))</f>
        <v>#VALUE!</v>
      </c>
      <c r="J786" s="98" t="e">
        <f ca="1">IF(G785&gt;=7,(MID(I786,1,1)&amp;MID(I786,2,3)+1),CELL("address",AA786))</f>
        <v>#VALUE!</v>
      </c>
      <c r="K786" s="98" t="e">
        <f ca="1">IF(G785&gt;=8,(MID(J786,1,1)&amp;MID(J786,2,3)+1),CELL("address",AB786))</f>
        <v>#VALUE!</v>
      </c>
      <c r="L786" s="98" t="e">
        <f ca="1">IF(G785&gt;=9,(MID(K786,1,1)&amp;MID(K786,2,3)+1),CELL("address",AC786))</f>
        <v>#VALUE!</v>
      </c>
      <c r="M786" s="98" t="e">
        <f ca="1">IF(G785&gt;=10,(MID(L786,1,1)&amp;MID(L786,2,3)+1),CELL("address",AD786))</f>
        <v>#VALUE!</v>
      </c>
      <c r="N786" s="98" t="e">
        <f ca="1">IF(G785&gt;=11,(MID(M786,1,1)&amp;MID(M786,2,3)+1),CELL("address",AE786))</f>
        <v>#VALUE!</v>
      </c>
      <c r="O786" s="98" t="e">
        <f ca="1">IF(G785&gt;=12,(MID(N786,1,1)&amp;MID(N786,2,3)+1),CELL("address",AF786))</f>
        <v>#VALUE!</v>
      </c>
    </row>
    <row r="787" spans="1:15" ht="15" customHeight="1">
      <c r="A787" s="277"/>
      <c r="B787" s="277"/>
      <c r="C787" s="284"/>
      <c r="D787" s="81" t="s">
        <v>60</v>
      </c>
      <c r="E787" s="58">
        <v>0.855</v>
      </c>
      <c r="F787" s="98"/>
      <c r="G787" s="92" t="str">
        <f>CONCATENATE(D787," - ",E787,", ")</f>
        <v>Transformer body scrap - 0.855, </v>
      </c>
      <c r="H787" s="98"/>
      <c r="I787" s="98"/>
      <c r="J787" s="98"/>
      <c r="K787" s="98"/>
      <c r="L787" s="98"/>
      <c r="M787" s="98"/>
      <c r="N787" s="98"/>
      <c r="O787" s="98"/>
    </row>
    <row r="788" spans="1:15" ht="15" customHeight="1">
      <c r="A788" s="277"/>
      <c r="B788" s="277"/>
      <c r="C788" s="284"/>
      <c r="D788" s="81" t="s">
        <v>198</v>
      </c>
      <c r="E788" s="58">
        <v>0.011</v>
      </c>
      <c r="F788" s="98"/>
      <c r="G788" s="92" t="str">
        <f>CONCATENATE(D788," - ",E788,", ")</f>
        <v>G.I. Scrap - 0.011, </v>
      </c>
      <c r="H788" s="98"/>
      <c r="I788" s="98"/>
      <c r="J788" s="98"/>
      <c r="K788" s="98"/>
      <c r="L788" s="98"/>
      <c r="M788" s="98"/>
      <c r="N788" s="98"/>
      <c r="O788" s="98"/>
    </row>
    <row r="789" spans="1:15" ht="15" customHeight="1">
      <c r="A789" s="39"/>
      <c r="B789" s="41"/>
      <c r="C789" s="48"/>
      <c r="D789" s="271"/>
      <c r="E789" s="196"/>
      <c r="F789" s="98"/>
      <c r="G789" s="98"/>
      <c r="H789" s="98"/>
      <c r="I789" s="98"/>
      <c r="J789" s="98"/>
      <c r="K789" s="98"/>
      <c r="L789" s="98"/>
      <c r="M789" s="98"/>
      <c r="N789" s="98"/>
      <c r="O789" s="98"/>
    </row>
    <row r="790" spans="1:15" ht="15" customHeight="1">
      <c r="A790" s="53"/>
      <c r="B790" s="54"/>
      <c r="C790" s="54"/>
      <c r="D790" s="56"/>
      <c r="E790" s="57">
        <f>SUM(E792:E794)</f>
        <v>3.185</v>
      </c>
      <c r="F790" s="98"/>
      <c r="G790" s="98"/>
      <c r="H790" s="98"/>
      <c r="I790" s="98"/>
      <c r="J790" s="98"/>
      <c r="K790" s="98"/>
      <c r="L790" s="98"/>
      <c r="M790" s="98"/>
      <c r="N790" s="98"/>
      <c r="O790" s="98"/>
    </row>
    <row r="791" spans="1:18" ht="15" customHeight="1">
      <c r="A791" s="300" t="s">
        <v>5</v>
      </c>
      <c r="B791" s="300"/>
      <c r="C791" s="70" t="s">
        <v>17</v>
      </c>
      <c r="D791" s="258" t="s">
        <v>18</v>
      </c>
      <c r="E791" s="39" t="s">
        <v>7</v>
      </c>
      <c r="F791" s="98"/>
      <c r="G791" s="93" t="str">
        <f>CONCATENATE("Misc. Iron Scrap, Lying at ",C792,". Quantity in MT - ")</f>
        <v>Misc. Iron Scrap, Lying at OL Barnala. Quantity in MT - </v>
      </c>
      <c r="H791" s="274" t="str">
        <f ca="1">CONCATENATE(G791,G792,(INDIRECT(I792)),(INDIRECT(J792)),(INDIRECT(K792)),(INDIRECT(L792)),(INDIRECT(M792)),(INDIRECT(N792)),(INDIRECT(O792)),(INDIRECT(P792)),(INDIRECT(Q792)),(INDIRECT(R792)),".")</f>
        <v>Misc. Iron Scrap, Lying at OL Barnala. Quantity in MT - Tubular Poles - 0.282, MS iron scrap - 2.368, Transformer body scrap - 0.535, .</v>
      </c>
      <c r="I791" s="98" t="str">
        <f aca="true" ca="1" t="array" ref="I791">CELL("address",INDEX(G791:G809,MATCH(TRUE,ISBLANK(G791:G809),0)))</f>
        <v>$G$795</v>
      </c>
      <c r="J791" s="98">
        <f aca="true" t="array" ref="J791">MATCH(TRUE,ISBLANK(G791:G809),0)</f>
        <v>5</v>
      </c>
      <c r="K791" s="98">
        <f>J791-3</f>
        <v>2</v>
      </c>
      <c r="L791" s="98"/>
      <c r="M791" s="98"/>
      <c r="N791" s="98"/>
      <c r="O791" s="98"/>
      <c r="P791" s="98"/>
      <c r="Q791" s="98"/>
      <c r="R791" s="98"/>
    </row>
    <row r="792" spans="1:18" ht="15" customHeight="1">
      <c r="A792" s="277" t="s">
        <v>177</v>
      </c>
      <c r="B792" s="277"/>
      <c r="C792" s="284" t="s">
        <v>190</v>
      </c>
      <c r="D792" s="42" t="s">
        <v>388</v>
      </c>
      <c r="E792" s="69">
        <v>0.282</v>
      </c>
      <c r="F792" s="98"/>
      <c r="G792" s="92" t="str">
        <f>CONCATENATE(D792," - ",E792,", ")</f>
        <v>Tubular Poles - 0.282, </v>
      </c>
      <c r="H792" s="274"/>
      <c r="I792" s="98" t="str">
        <f ca="1">IF(J791&gt;=3,(MID(I791,2,1)&amp;MID(I791,4,3)-K791),CELL("address",Z792))</f>
        <v>G793</v>
      </c>
      <c r="J792" s="98" t="str">
        <f ca="1">IF(J791&gt;=4,(MID(I792,1,1)&amp;MID(I792,2,3)+1),CELL("address",AA792))</f>
        <v>G794</v>
      </c>
      <c r="K792" s="98" t="str">
        <f ca="1">IF(J791&gt;=5,(MID(J792,1,1)&amp;MID(J792,2,3)+1),CELL("address",AB792))</f>
        <v>G795</v>
      </c>
      <c r="L792" s="98" t="str">
        <f ca="1">IF(J791&gt;=6,(MID(K792,1,1)&amp;MID(K792,2,3)+1),CELL("address",AC792))</f>
        <v>$AC$792</v>
      </c>
      <c r="M792" s="98" t="str">
        <f ca="1">IF(J791&gt;=7,(MID(L792,1,1)&amp;MID(L792,2,3)+1),CELL("address",AD792))</f>
        <v>$AD$792</v>
      </c>
      <c r="N792" s="98" t="str">
        <f ca="1">IF(J791&gt;=8,(MID(M792,1,1)&amp;MID(M792,2,3)+1),CELL("address",AE792))</f>
        <v>$AE$792</v>
      </c>
      <c r="O792" s="98" t="str">
        <f ca="1">IF(J791&gt;=9,(MID(N792,1,1)&amp;MID(N792,2,3)+1),CELL("address",AF792))</f>
        <v>$AF$792</v>
      </c>
      <c r="P792" s="98" t="str">
        <f ca="1">IF(J791&gt;=10,(MID(O792,1,1)&amp;MID(O792,2,3)+1),CELL("address",AG792))</f>
        <v>$AG$792</v>
      </c>
      <c r="Q792" s="98" t="str">
        <f ca="1">IF(J791&gt;=11,(MID(P792,1,1)&amp;MID(P792,2,3)+1),CELL("address",AH792))</f>
        <v>$AH$792</v>
      </c>
      <c r="R792" s="98" t="str">
        <f ca="1">IF(J791&gt;=12,(MID(Q792,1,1)&amp;MID(Q792,2,3)+1),CELL("address",AI792))</f>
        <v>$AI$792</v>
      </c>
    </row>
    <row r="793" spans="1:15" ht="15" customHeight="1">
      <c r="A793" s="277"/>
      <c r="B793" s="277"/>
      <c r="C793" s="284"/>
      <c r="D793" s="42" t="s">
        <v>29</v>
      </c>
      <c r="E793" s="58">
        <v>2.368</v>
      </c>
      <c r="F793" s="98"/>
      <c r="G793" s="92" t="str">
        <f>CONCATENATE(D793," - ",E793,", ")</f>
        <v>MS iron scrap - 2.368, </v>
      </c>
      <c r="H793" s="98"/>
      <c r="I793" s="98"/>
      <c r="J793" s="98"/>
      <c r="K793" s="98"/>
      <c r="L793" s="98"/>
      <c r="M793" s="98"/>
      <c r="N793" s="98"/>
      <c r="O793" s="98"/>
    </row>
    <row r="794" spans="1:15" ht="15" customHeight="1">
      <c r="A794" s="277"/>
      <c r="B794" s="277"/>
      <c r="C794" s="284"/>
      <c r="D794" s="81" t="s">
        <v>60</v>
      </c>
      <c r="E794" s="58">
        <v>0.535</v>
      </c>
      <c r="F794" s="98"/>
      <c r="G794" s="92" t="str">
        <f>CONCATENATE(D794," - ",E794,", ")</f>
        <v>Transformer body scrap - 0.535, </v>
      </c>
      <c r="H794" s="98"/>
      <c r="I794" s="98"/>
      <c r="J794" s="98"/>
      <c r="K794" s="98"/>
      <c r="L794" s="98"/>
      <c r="M794" s="98"/>
      <c r="N794" s="98"/>
      <c r="O794" s="98"/>
    </row>
    <row r="795" spans="1:15" ht="15" customHeight="1">
      <c r="A795" s="39"/>
      <c r="B795" s="41"/>
      <c r="C795" s="48"/>
      <c r="D795" s="271"/>
      <c r="E795" s="196"/>
      <c r="F795" s="98"/>
      <c r="G795" s="98"/>
      <c r="H795" s="98"/>
      <c r="I795" s="98"/>
      <c r="J795" s="98"/>
      <c r="K795" s="98"/>
      <c r="L795" s="98"/>
      <c r="M795" s="98"/>
      <c r="N795" s="98"/>
      <c r="O795" s="98"/>
    </row>
    <row r="796" spans="1:15" ht="15" customHeight="1">
      <c r="A796" s="53"/>
      <c r="B796" s="54"/>
      <c r="C796" s="54"/>
      <c r="D796" s="56"/>
      <c r="E796" s="57">
        <f>SUM(E798:E802)</f>
        <v>2.49</v>
      </c>
      <c r="F796" s="98"/>
      <c r="G796" s="98"/>
      <c r="H796" s="98"/>
      <c r="I796" s="98"/>
      <c r="J796" s="98"/>
      <c r="K796" s="98"/>
      <c r="L796" s="98"/>
      <c r="M796" s="98"/>
      <c r="N796" s="98"/>
      <c r="O796" s="98"/>
    </row>
    <row r="797" spans="1:18" ht="15" customHeight="1">
      <c r="A797" s="300" t="s">
        <v>5</v>
      </c>
      <c r="B797" s="300"/>
      <c r="C797" s="70" t="s">
        <v>17</v>
      </c>
      <c r="D797" s="258" t="s">
        <v>18</v>
      </c>
      <c r="E797" s="39" t="s">
        <v>7</v>
      </c>
      <c r="F797" s="98"/>
      <c r="G797" s="93" t="str">
        <f>CONCATENATE("Misc. Iron Scrap, Lying at ",C798,". Quantity in MT - ")</f>
        <v>Misc. Iron Scrap, Lying at CS Mohali. Quantity in MT - </v>
      </c>
      <c r="H797" s="274" t="str">
        <f ca="1">CONCATENATE(G797,G798,(INDIRECT(I798)),(INDIRECT(J798)),(INDIRECT(K798)),(INDIRECT(L798)),(INDIRECT(M798)),(INDIRECT(N798)),(INDIRECT(O798)),(INDIRECT(P798)),(INDIRECT(Q798)),(INDIRECT(R798)),".")</f>
        <v>Misc. Iron Scrap, Lying at CS Mohali. Quantity in MT - Piller box scrap - 0.095, MS iron scrap - 2.002, MS Rail scrap - 0.18, Transformer body scrap - 0.113, G.I. Scrap - 0.1, .</v>
      </c>
      <c r="I797" s="98" t="str">
        <f aca="true" ca="1" t="array" ref="I797">CELL("address",INDEX(G797:G815,MATCH(TRUE,ISBLANK(G797:G815),0)))</f>
        <v>$G$803</v>
      </c>
      <c r="J797" s="98">
        <f aca="true" t="array" ref="J797">MATCH(TRUE,ISBLANK(G797:G815),0)</f>
        <v>7</v>
      </c>
      <c r="K797" s="98">
        <f>J797-3</f>
        <v>4</v>
      </c>
      <c r="L797" s="98"/>
      <c r="M797" s="98"/>
      <c r="N797" s="98"/>
      <c r="O797" s="98"/>
      <c r="P797" s="98"/>
      <c r="Q797" s="98"/>
      <c r="R797" s="98"/>
    </row>
    <row r="798" spans="1:18" ht="15" customHeight="1">
      <c r="A798" s="277" t="s">
        <v>321</v>
      </c>
      <c r="B798" s="277"/>
      <c r="C798" s="284" t="s">
        <v>62</v>
      </c>
      <c r="D798" s="42" t="s">
        <v>393</v>
      </c>
      <c r="E798" s="69">
        <v>0.095</v>
      </c>
      <c r="F798" s="98"/>
      <c r="G798" s="92" t="str">
        <f>CONCATENATE(D798," - ",E798,", ")</f>
        <v>Piller box scrap - 0.095, </v>
      </c>
      <c r="H798" s="274"/>
      <c r="I798" s="98" t="str">
        <f ca="1">IF(J797&gt;=3,(MID(I797,2,1)&amp;MID(I797,4,3)-K797),CELL("address",Z798))</f>
        <v>G799</v>
      </c>
      <c r="J798" s="98" t="str">
        <f ca="1">IF(J797&gt;=4,(MID(I798,1,1)&amp;MID(I798,2,3)+1),CELL("address",AA798))</f>
        <v>G800</v>
      </c>
      <c r="K798" s="98" t="str">
        <f ca="1">IF(J797&gt;=5,(MID(J798,1,1)&amp;MID(J798,2,3)+1),CELL("address",AB798))</f>
        <v>G801</v>
      </c>
      <c r="L798" s="98" t="str">
        <f ca="1">IF(J797&gt;=6,(MID(K798,1,1)&amp;MID(K798,2,3)+1),CELL("address",AC798))</f>
        <v>G802</v>
      </c>
      <c r="M798" s="98" t="str">
        <f ca="1">IF(J797&gt;=7,(MID(L798,1,1)&amp;MID(L798,2,3)+1),CELL("address",AD798))</f>
        <v>G803</v>
      </c>
      <c r="N798" s="98" t="str">
        <f ca="1">IF(J797&gt;=8,(MID(M798,1,1)&amp;MID(M798,2,3)+1),CELL("address",AE798))</f>
        <v>$AE$798</v>
      </c>
      <c r="O798" s="98" t="str">
        <f ca="1">IF(J797&gt;=9,(MID(N798,1,1)&amp;MID(N798,2,3)+1),CELL("address",AF798))</f>
        <v>$AF$798</v>
      </c>
      <c r="P798" s="98" t="str">
        <f ca="1">IF(J797&gt;=10,(MID(O798,1,1)&amp;MID(O798,2,3)+1),CELL("address",AG798))</f>
        <v>$AG$798</v>
      </c>
      <c r="Q798" s="98" t="str">
        <f ca="1">IF(J797&gt;=11,(MID(P798,1,1)&amp;MID(P798,2,3)+1),CELL("address",AH798))</f>
        <v>$AH$798</v>
      </c>
      <c r="R798" s="98" t="str">
        <f ca="1">IF(J797&gt;=12,(MID(Q798,1,1)&amp;MID(Q798,2,3)+1),CELL("address",AI798))</f>
        <v>$AI$798</v>
      </c>
    </row>
    <row r="799" spans="1:15" ht="15" customHeight="1">
      <c r="A799" s="277"/>
      <c r="B799" s="277"/>
      <c r="C799" s="284"/>
      <c r="D799" s="272" t="s">
        <v>29</v>
      </c>
      <c r="E799" s="196">
        <v>2.002</v>
      </c>
      <c r="F799" s="227" t="s">
        <v>320</v>
      </c>
      <c r="G799" s="92" t="str">
        <f>CONCATENATE(D799," - ",E799,", ")</f>
        <v>MS iron scrap - 2.002, </v>
      </c>
      <c r="H799" s="98"/>
      <c r="I799" s="98"/>
      <c r="J799" s="98"/>
      <c r="K799" s="98"/>
      <c r="L799" s="98"/>
      <c r="M799" s="98"/>
      <c r="N799" s="98"/>
      <c r="O799" s="98"/>
    </row>
    <row r="800" spans="1:15" ht="15" customHeight="1">
      <c r="A800" s="277"/>
      <c r="B800" s="277"/>
      <c r="C800" s="284"/>
      <c r="D800" s="272" t="s">
        <v>61</v>
      </c>
      <c r="E800" s="196">
        <v>0.18</v>
      </c>
      <c r="F800" s="227" t="s">
        <v>320</v>
      </c>
      <c r="G800" s="92" t="str">
        <f>CONCATENATE(D800," - ",E800,", ")</f>
        <v>MS Rail scrap - 0.18, </v>
      </c>
      <c r="H800" s="98"/>
      <c r="I800" s="98" t="e">
        <f ca="1">IF(G799&gt;=6,(MID(H800,1,1)&amp;MID(H800,2,3)+1),CELL("address",Z800))</f>
        <v>#VALUE!</v>
      </c>
      <c r="J800" s="98" t="e">
        <f ca="1">IF(G799&gt;=7,(MID(I800,1,1)&amp;MID(I800,2,3)+1),CELL("address",AA800))</f>
        <v>#VALUE!</v>
      </c>
      <c r="K800" s="98" t="e">
        <f ca="1">IF(G799&gt;=8,(MID(J800,1,1)&amp;MID(J800,2,3)+1),CELL("address",AB800))</f>
        <v>#VALUE!</v>
      </c>
      <c r="L800" s="98" t="e">
        <f ca="1">IF(G799&gt;=9,(MID(K800,1,1)&amp;MID(K800,2,3)+1),CELL("address",AC800))</f>
        <v>#VALUE!</v>
      </c>
      <c r="M800" s="98" t="e">
        <f ca="1">IF(G799&gt;=10,(MID(L800,1,1)&amp;MID(L800,2,3)+1),CELL("address",AD800))</f>
        <v>#VALUE!</v>
      </c>
      <c r="N800" s="98" t="e">
        <f ca="1">IF(G799&gt;=11,(MID(M800,1,1)&amp;MID(M800,2,3)+1),CELL("address",AE800))</f>
        <v>#VALUE!</v>
      </c>
      <c r="O800" s="98" t="e">
        <f ca="1">IF(G799&gt;=12,(MID(N800,1,1)&amp;MID(N800,2,3)+1),CELL("address",AF800))</f>
        <v>#VALUE!</v>
      </c>
    </row>
    <row r="801" spans="1:15" ht="15" customHeight="1">
      <c r="A801" s="277"/>
      <c r="B801" s="277"/>
      <c r="C801" s="284"/>
      <c r="D801" s="168" t="s">
        <v>60</v>
      </c>
      <c r="E801" s="196">
        <v>0.113</v>
      </c>
      <c r="F801" s="227" t="s">
        <v>320</v>
      </c>
      <c r="G801" s="92" t="str">
        <f>CONCATENATE(D801," - ",E801,", ")</f>
        <v>Transformer body scrap - 0.113, </v>
      </c>
      <c r="H801" s="98"/>
      <c r="I801" s="98"/>
      <c r="J801" s="98"/>
      <c r="K801" s="98"/>
      <c r="L801" s="98"/>
      <c r="M801" s="98"/>
      <c r="N801" s="98"/>
      <c r="O801" s="98"/>
    </row>
    <row r="802" spans="1:15" ht="15" customHeight="1">
      <c r="A802" s="277"/>
      <c r="B802" s="277"/>
      <c r="C802" s="284"/>
      <c r="D802" s="168" t="s">
        <v>198</v>
      </c>
      <c r="E802" s="196">
        <v>0.1</v>
      </c>
      <c r="F802" s="227" t="s">
        <v>320</v>
      </c>
      <c r="G802" s="92" t="str">
        <f>CONCATENATE(D802," - ",E802,", ")</f>
        <v>G.I. Scrap - 0.1, </v>
      </c>
      <c r="H802" s="98"/>
      <c r="I802" s="98"/>
      <c r="J802" s="98"/>
      <c r="K802" s="98"/>
      <c r="L802" s="98"/>
      <c r="M802" s="98"/>
      <c r="N802" s="98"/>
      <c r="O802" s="98"/>
    </row>
    <row r="803" spans="1:15" ht="15" customHeight="1">
      <c r="A803" s="39"/>
      <c r="B803" s="41"/>
      <c r="C803" s="48"/>
      <c r="D803" s="41"/>
      <c r="E803" s="58"/>
      <c r="F803" s="98"/>
      <c r="G803" s="98"/>
      <c r="H803" s="98"/>
      <c r="I803" s="98"/>
      <c r="J803" s="98"/>
      <c r="K803" s="98"/>
      <c r="L803" s="98"/>
      <c r="M803" s="98"/>
      <c r="N803" s="98"/>
      <c r="O803" s="98"/>
    </row>
    <row r="804" spans="1:15" ht="15" customHeight="1">
      <c r="A804" s="53"/>
      <c r="B804" s="54"/>
      <c r="C804" s="54"/>
      <c r="D804" s="56"/>
      <c r="E804" s="57">
        <f>SUM(E806:E815)</f>
        <v>7.211000000000001</v>
      </c>
      <c r="F804" s="98"/>
      <c r="G804" s="98"/>
      <c r="H804" s="98"/>
      <c r="I804" s="98"/>
      <c r="J804" s="98"/>
      <c r="K804" s="98"/>
      <c r="L804" s="98"/>
      <c r="M804" s="98"/>
      <c r="N804" s="98"/>
      <c r="O804" s="98"/>
    </row>
    <row r="805" spans="1:18" ht="15" customHeight="1">
      <c r="A805" s="300" t="s">
        <v>5</v>
      </c>
      <c r="B805" s="300"/>
      <c r="C805" s="70" t="s">
        <v>17</v>
      </c>
      <c r="D805" s="258" t="s">
        <v>18</v>
      </c>
      <c r="E805" s="39" t="s">
        <v>7</v>
      </c>
      <c r="F805" s="98"/>
      <c r="G805" s="93" t="str">
        <f>CONCATENATE("Misc. Iron Scrap, Lying at ",C806,". Quantity in MT - ")</f>
        <v>Misc. Iron Scrap, Lying at CS Patiala. Quantity in MT - </v>
      </c>
      <c r="H805" s="274" t="str">
        <f ca="1">CONCATENATE(G805,G806,(INDIRECT(I806)),(INDIRECT(J806)),(INDIRECT(K806)),(INDIRECT(L806)),(INDIRECT(M806)),(INDIRECT(N806)),(INDIRECT(O806)),(INDIRECT(P806)),(INDIRECT(Q806)),(INDIRECT(R806)),".")</f>
        <v>Misc. Iron Scrap, Lying at CS Patiala. Quantity in MT - Iron scrap of Bush fixings - 0.93, MS iron scrap - 3.337, MS Rail scrap - 0.11, M.S. Girder Scrap - 0.15, MS Nuts &amp; bolts scrap - 0.345, Cast Iron Scrap - 0.078, Transformer body scrap - 1.37, Teen Patra scrap - 0.752, G.I. scrap - 0.12, G.I. Wire/GSL scrap - 0.019, .</v>
      </c>
      <c r="I805" s="98" t="str">
        <f aca="true" ca="1" t="array" ref="I805">CELL("address",INDEX(G805:G823,MATCH(TRUE,ISBLANK(G805:G823),0)))</f>
        <v>$G$816</v>
      </c>
      <c r="J805" s="98">
        <f aca="true" t="array" ref="J805">MATCH(TRUE,ISBLANK(G805:G823),0)</f>
        <v>12</v>
      </c>
      <c r="K805" s="98">
        <f>J805-3</f>
        <v>9</v>
      </c>
      <c r="L805" s="98"/>
      <c r="M805" s="98"/>
      <c r="N805" s="98"/>
      <c r="O805" s="98"/>
      <c r="P805" s="98"/>
      <c r="Q805" s="98"/>
      <c r="R805" s="98"/>
    </row>
    <row r="806" spans="1:18" ht="15" customHeight="1">
      <c r="A806" s="277" t="s">
        <v>389</v>
      </c>
      <c r="B806" s="277"/>
      <c r="C806" s="284" t="s">
        <v>52</v>
      </c>
      <c r="D806" s="42" t="s">
        <v>396</v>
      </c>
      <c r="E806" s="69">
        <v>0.93</v>
      </c>
      <c r="F806" s="98"/>
      <c r="G806" s="92" t="str">
        <f aca="true" t="shared" si="4" ref="G806:G815">CONCATENATE(D806," - ",E806,", ")</f>
        <v>Iron scrap of Bush fixings - 0.93, </v>
      </c>
      <c r="H806" s="274"/>
      <c r="I806" s="98" t="str">
        <f ca="1">IF(J805&gt;=3,(MID(I805,2,1)&amp;MID(I805,4,3)-K805),CELL("address",Z806))</f>
        <v>G807</v>
      </c>
      <c r="J806" s="98" t="str">
        <f ca="1">IF(J805&gt;=4,(MID(I806,1,1)&amp;MID(I806,2,3)+1),CELL("address",AA806))</f>
        <v>G808</v>
      </c>
      <c r="K806" s="98" t="str">
        <f ca="1">IF(J805&gt;=5,(MID(J806,1,1)&amp;MID(J806,2,3)+1),CELL("address",AB806))</f>
        <v>G809</v>
      </c>
      <c r="L806" s="98" t="str">
        <f ca="1">IF(J805&gt;=6,(MID(K806,1,1)&amp;MID(K806,2,3)+1),CELL("address",AC806))</f>
        <v>G810</v>
      </c>
      <c r="M806" s="98" t="str">
        <f ca="1">IF(J805&gt;=7,(MID(L806,1,1)&amp;MID(L806,2,3)+1),CELL("address",AD806))</f>
        <v>G811</v>
      </c>
      <c r="N806" s="98" t="str">
        <f ca="1">IF(J805&gt;=8,(MID(M806,1,1)&amp;MID(M806,2,3)+1),CELL("address",AE806))</f>
        <v>G812</v>
      </c>
      <c r="O806" s="98" t="str">
        <f ca="1">IF(J805&gt;=9,(MID(N806,1,1)&amp;MID(N806,2,3)+1),CELL("address",AF806))</f>
        <v>G813</v>
      </c>
      <c r="P806" s="98" t="str">
        <f ca="1">IF(J805&gt;=10,(MID(O806,1,1)&amp;MID(O806,2,3)+1),CELL("address",AG806))</f>
        <v>G814</v>
      </c>
      <c r="Q806" s="98" t="str">
        <f ca="1">IF(J805&gt;=11,(MID(P806,1,1)&amp;MID(P806,2,3)+1),CELL("address",AH806))</f>
        <v>G815</v>
      </c>
      <c r="R806" s="98" t="str">
        <f ca="1">IF(J805&gt;=12,(MID(Q806,1,1)&amp;MID(Q806,2,3)+1),CELL("address",AI806))</f>
        <v>G816</v>
      </c>
    </row>
    <row r="807" spans="1:15" ht="15" customHeight="1">
      <c r="A807" s="277"/>
      <c r="B807" s="277"/>
      <c r="C807" s="284"/>
      <c r="D807" s="272" t="s">
        <v>29</v>
      </c>
      <c r="E807" s="196">
        <v>3.337</v>
      </c>
      <c r="F807" s="227" t="s">
        <v>320</v>
      </c>
      <c r="G807" s="92" t="str">
        <f t="shared" si="4"/>
        <v>MS iron scrap - 3.337, </v>
      </c>
      <c r="H807" s="98"/>
      <c r="I807" s="98"/>
      <c r="J807" s="98"/>
      <c r="K807" s="98"/>
      <c r="L807" s="98"/>
      <c r="M807" s="98"/>
      <c r="N807" s="98"/>
      <c r="O807" s="98"/>
    </row>
    <row r="808" spans="1:15" ht="15" customHeight="1">
      <c r="A808" s="277"/>
      <c r="B808" s="277"/>
      <c r="C808" s="284"/>
      <c r="D808" s="272" t="s">
        <v>61</v>
      </c>
      <c r="E808" s="196">
        <v>0.11</v>
      </c>
      <c r="F808" s="227" t="s">
        <v>320</v>
      </c>
      <c r="G808" s="92" t="str">
        <f t="shared" si="4"/>
        <v>MS Rail scrap - 0.11, </v>
      </c>
      <c r="H808" s="98"/>
      <c r="I808" s="98"/>
      <c r="J808" s="98"/>
      <c r="K808" s="98"/>
      <c r="L808" s="98"/>
      <c r="M808" s="98"/>
      <c r="N808" s="98"/>
      <c r="O808" s="98"/>
    </row>
    <row r="809" spans="1:15" ht="15" customHeight="1">
      <c r="A809" s="277"/>
      <c r="B809" s="277"/>
      <c r="C809" s="284"/>
      <c r="D809" s="168" t="s">
        <v>576</v>
      </c>
      <c r="E809" s="196">
        <v>0.15</v>
      </c>
      <c r="F809" s="227" t="s">
        <v>320</v>
      </c>
      <c r="G809" s="92" t="str">
        <f t="shared" si="4"/>
        <v>M.S. Girder Scrap - 0.15, </v>
      </c>
      <c r="H809" s="98"/>
      <c r="I809" s="98"/>
      <c r="J809" s="98"/>
      <c r="K809" s="98"/>
      <c r="L809" s="98"/>
      <c r="M809" s="98"/>
      <c r="N809" s="98"/>
      <c r="O809" s="98"/>
    </row>
    <row r="810" spans="1:15" ht="15" customHeight="1">
      <c r="A810" s="277"/>
      <c r="B810" s="277"/>
      <c r="C810" s="284"/>
      <c r="D810" s="168" t="s">
        <v>577</v>
      </c>
      <c r="E810" s="196">
        <v>0.345</v>
      </c>
      <c r="F810" s="227" t="s">
        <v>320</v>
      </c>
      <c r="G810" s="92" t="str">
        <f t="shared" si="4"/>
        <v>MS Nuts &amp; bolts scrap - 0.345, </v>
      </c>
      <c r="H810" s="98"/>
      <c r="I810" s="98"/>
      <c r="J810" s="98"/>
      <c r="K810" s="98"/>
      <c r="L810" s="98"/>
      <c r="M810" s="98"/>
      <c r="N810" s="98"/>
      <c r="O810" s="98"/>
    </row>
    <row r="811" spans="1:15" ht="15" customHeight="1">
      <c r="A811" s="277"/>
      <c r="B811" s="277"/>
      <c r="C811" s="284"/>
      <c r="D811" s="168" t="s">
        <v>578</v>
      </c>
      <c r="E811" s="196">
        <v>0.078</v>
      </c>
      <c r="F811" s="227" t="s">
        <v>320</v>
      </c>
      <c r="G811" s="92" t="str">
        <f t="shared" si="4"/>
        <v>Cast Iron Scrap - 0.078, </v>
      </c>
      <c r="H811" s="98"/>
      <c r="I811" s="98"/>
      <c r="J811" s="98"/>
      <c r="K811" s="98"/>
      <c r="L811" s="98"/>
      <c r="M811" s="98"/>
      <c r="N811" s="98"/>
      <c r="O811" s="98"/>
    </row>
    <row r="812" spans="1:15" ht="15" customHeight="1">
      <c r="A812" s="277"/>
      <c r="B812" s="277"/>
      <c r="C812" s="284"/>
      <c r="D812" s="168" t="s">
        <v>60</v>
      </c>
      <c r="E812" s="196">
        <v>1.37</v>
      </c>
      <c r="F812" s="227" t="s">
        <v>320</v>
      </c>
      <c r="G812" s="92" t="str">
        <f t="shared" si="4"/>
        <v>Transformer body scrap - 1.37, </v>
      </c>
      <c r="H812" s="98"/>
      <c r="I812" s="98"/>
      <c r="J812" s="98"/>
      <c r="K812" s="98"/>
      <c r="L812" s="98"/>
      <c r="M812" s="98"/>
      <c r="N812" s="98"/>
      <c r="O812" s="98"/>
    </row>
    <row r="813" spans="1:15" ht="15" customHeight="1">
      <c r="A813" s="277"/>
      <c r="B813" s="277"/>
      <c r="C813" s="284"/>
      <c r="D813" s="168" t="s">
        <v>64</v>
      </c>
      <c r="E813" s="196">
        <v>0.752</v>
      </c>
      <c r="F813" s="227" t="s">
        <v>320</v>
      </c>
      <c r="G813" s="92" t="str">
        <f t="shared" si="4"/>
        <v>Teen Patra scrap - 0.752, </v>
      </c>
      <c r="H813" s="98"/>
      <c r="I813" s="98" t="e">
        <f ca="1">IF(G812&gt;=6,(MID(H813,1,1)&amp;MID(H813,2,3)+1),CELL("address",Z813))</f>
        <v>#VALUE!</v>
      </c>
      <c r="J813" s="98" t="e">
        <f ca="1">IF(G812&gt;=7,(MID(I813,1,1)&amp;MID(I813,2,3)+1),CELL("address",AA813))</f>
        <v>#VALUE!</v>
      </c>
      <c r="K813" s="98" t="e">
        <f ca="1">IF(G812&gt;=8,(MID(J813,1,1)&amp;MID(J813,2,3)+1),CELL("address",AB813))</f>
        <v>#VALUE!</v>
      </c>
      <c r="L813" s="98" t="e">
        <f ca="1">IF(G812&gt;=9,(MID(K813,1,1)&amp;MID(K813,2,3)+1),CELL("address",AC813))</f>
        <v>#VALUE!</v>
      </c>
      <c r="M813" s="98" t="e">
        <f ca="1">IF(G812&gt;=10,(MID(L813,1,1)&amp;MID(L813,2,3)+1),CELL("address",AD813))</f>
        <v>#VALUE!</v>
      </c>
      <c r="N813" s="98" t="e">
        <f ca="1">IF(G812&gt;=11,(MID(M813,1,1)&amp;MID(M813,2,3)+1),CELL("address",AE813))</f>
        <v>#VALUE!</v>
      </c>
      <c r="O813" s="98" t="e">
        <f ca="1">IF(G812&gt;=12,(MID(N813,1,1)&amp;MID(N813,2,3)+1),CELL("address",AF813))</f>
        <v>#VALUE!</v>
      </c>
    </row>
    <row r="814" spans="1:15" ht="15" customHeight="1">
      <c r="A814" s="277"/>
      <c r="B814" s="277"/>
      <c r="C814" s="284"/>
      <c r="D814" s="168" t="s">
        <v>193</v>
      </c>
      <c r="E814" s="196">
        <v>0.12</v>
      </c>
      <c r="F814" s="227" t="s">
        <v>320</v>
      </c>
      <c r="G814" s="92" t="str">
        <f t="shared" si="4"/>
        <v>G.I. scrap - 0.12, </v>
      </c>
      <c r="H814" s="98"/>
      <c r="I814" s="98"/>
      <c r="J814" s="98"/>
      <c r="K814" s="98"/>
      <c r="L814" s="98"/>
      <c r="M814" s="98"/>
      <c r="N814" s="98"/>
      <c r="O814" s="98"/>
    </row>
    <row r="815" spans="1:15" ht="15" customHeight="1">
      <c r="A815" s="277"/>
      <c r="B815" s="277"/>
      <c r="C815" s="284"/>
      <c r="D815" s="168" t="s">
        <v>497</v>
      </c>
      <c r="E815" s="196">
        <v>0.019</v>
      </c>
      <c r="F815" s="227" t="s">
        <v>320</v>
      </c>
      <c r="G815" s="92" t="str">
        <f t="shared" si="4"/>
        <v>G.I. Wire/GSL scrap - 0.019, </v>
      </c>
      <c r="H815" s="98"/>
      <c r="I815" s="98"/>
      <c r="J815" s="98"/>
      <c r="K815" s="98"/>
      <c r="L815" s="98"/>
      <c r="M815" s="98"/>
      <c r="N815" s="98"/>
      <c r="O815" s="98"/>
    </row>
    <row r="816" spans="1:15" ht="15" customHeight="1">
      <c r="A816" s="275"/>
      <c r="B816" s="276"/>
      <c r="C816" s="258"/>
      <c r="D816" s="34"/>
      <c r="E816" s="263"/>
      <c r="F816" s="98"/>
      <c r="G816" s="98"/>
      <c r="H816" s="98"/>
      <c r="I816" s="98"/>
      <c r="J816" s="98"/>
      <c r="K816" s="98"/>
      <c r="L816" s="98"/>
      <c r="M816" s="98"/>
      <c r="N816" s="98"/>
      <c r="O816" s="98"/>
    </row>
    <row r="817" spans="1:15" ht="15" customHeight="1">
      <c r="A817" s="280"/>
      <c r="B817" s="281"/>
      <c r="C817" s="40"/>
      <c r="D817" s="56"/>
      <c r="E817" s="52">
        <f>SUM(E819:E822)</f>
        <v>7.513999999999999</v>
      </c>
      <c r="F817" s="98"/>
      <c r="G817" s="98"/>
      <c r="H817" s="98"/>
      <c r="I817" s="98"/>
      <c r="J817" s="98"/>
      <c r="K817" s="98"/>
      <c r="L817" s="98"/>
      <c r="M817" s="98"/>
      <c r="N817" s="98"/>
      <c r="O817" s="98"/>
    </row>
    <row r="818" spans="1:18" ht="15" customHeight="1">
      <c r="A818" s="277" t="s">
        <v>5</v>
      </c>
      <c r="B818" s="277"/>
      <c r="C818" s="40" t="s">
        <v>17</v>
      </c>
      <c r="D818" s="258" t="s">
        <v>18</v>
      </c>
      <c r="E818" s="39" t="s">
        <v>7</v>
      </c>
      <c r="F818" s="98"/>
      <c r="G818" s="93" t="str">
        <f>CONCATENATE("Misc. Iron Scrap, Lying at ",C819,". Quantity in MT - ")</f>
        <v>Misc. Iron Scrap, Lying at OL Malerkotla. Quantity in MT - </v>
      </c>
      <c r="H818" s="274" t="str">
        <f ca="1">CONCATENATE(G818,G819,(INDIRECT(I819)),(INDIRECT(J819)),(INDIRECT(K819)),(INDIRECT(L819)),(INDIRECT(M819)),(INDIRECT(N819)),(INDIRECT(O819)),(INDIRECT(P819)),(INDIRECT(Q819)),(INDIRECT(R819)),".")</f>
        <v>Misc. Iron Scrap, Lying at OL Malerkotla. Quantity in MT - MS iron scrap - 4.931, Transformer body scrap - 2.081, MS Rail scrap - 0.43, M.S. Nuts &amp; Bolts Scrap - 0.072, .</v>
      </c>
      <c r="I818" s="98" t="str">
        <f aca="true" ca="1" t="array" ref="I818">CELL("address",INDEX(G818:G836,MATCH(TRUE,ISBLANK(G818:G836),0)))</f>
        <v>$G$823</v>
      </c>
      <c r="J818" s="98">
        <f aca="true" t="array" ref="J818">MATCH(TRUE,ISBLANK(G818:G836),0)</f>
        <v>6</v>
      </c>
      <c r="K818" s="98">
        <f>J818-3</f>
        <v>3</v>
      </c>
      <c r="L818" s="98"/>
      <c r="M818" s="98"/>
      <c r="N818" s="98"/>
      <c r="O818" s="98"/>
      <c r="P818" s="98"/>
      <c r="Q818" s="98"/>
      <c r="R818" s="98"/>
    </row>
    <row r="819" spans="1:18" ht="15" customHeight="1">
      <c r="A819" s="277" t="s">
        <v>192</v>
      </c>
      <c r="B819" s="277"/>
      <c r="C819" s="284" t="s">
        <v>126</v>
      </c>
      <c r="D819" s="42" t="s">
        <v>29</v>
      </c>
      <c r="E819" s="69">
        <v>4.931</v>
      </c>
      <c r="F819" s="98"/>
      <c r="G819" s="92" t="str">
        <f>CONCATENATE(D819," - ",E819,", ")</f>
        <v>MS iron scrap - 4.931, </v>
      </c>
      <c r="H819" s="274"/>
      <c r="I819" s="98" t="str">
        <f ca="1">IF(J818&gt;=3,(MID(I818,2,1)&amp;MID(I818,4,3)-K818),CELL("address",Z819))</f>
        <v>G820</v>
      </c>
      <c r="J819" s="98" t="str">
        <f ca="1">IF(J818&gt;=4,(MID(I819,1,1)&amp;MID(I819,2,3)+1),CELL("address",AA819))</f>
        <v>G821</v>
      </c>
      <c r="K819" s="98" t="str">
        <f ca="1">IF(J818&gt;=5,(MID(J819,1,1)&amp;MID(J819,2,3)+1),CELL("address",AB819))</f>
        <v>G822</v>
      </c>
      <c r="L819" s="98" t="str">
        <f ca="1">IF(J818&gt;=6,(MID(K819,1,1)&amp;MID(K819,2,3)+1),CELL("address",AC819))</f>
        <v>G823</v>
      </c>
      <c r="M819" s="98" t="str">
        <f ca="1">IF(J818&gt;=7,(MID(L819,1,1)&amp;MID(L819,2,3)+1),CELL("address",AD819))</f>
        <v>$AD$819</v>
      </c>
      <c r="N819" s="98" t="str">
        <f ca="1">IF(J818&gt;=8,(MID(M819,1,1)&amp;MID(M819,2,3)+1),CELL("address",AE819))</f>
        <v>$AE$819</v>
      </c>
      <c r="O819" s="98" t="str">
        <f ca="1">IF(J818&gt;=9,(MID(N819,1,1)&amp;MID(N819,2,3)+1),CELL("address",AF819))</f>
        <v>$AF$819</v>
      </c>
      <c r="P819" s="98" t="str">
        <f ca="1">IF(J818&gt;=10,(MID(O819,1,1)&amp;MID(O819,2,3)+1),CELL("address",AG819))</f>
        <v>$AG$819</v>
      </c>
      <c r="Q819" s="98" t="str">
        <f ca="1">IF(J818&gt;=11,(MID(P819,1,1)&amp;MID(P819,2,3)+1),CELL("address",AH819))</f>
        <v>$AH$819</v>
      </c>
      <c r="R819" s="98" t="str">
        <f ca="1">IF(J818&gt;=12,(MID(Q819,1,1)&amp;MID(Q819,2,3)+1),CELL("address",AI819))</f>
        <v>$AI$819</v>
      </c>
    </row>
    <row r="820" spans="1:15" ht="15" customHeight="1">
      <c r="A820" s="277"/>
      <c r="B820" s="277"/>
      <c r="C820" s="284"/>
      <c r="D820" s="81" t="s">
        <v>60</v>
      </c>
      <c r="E820" s="69">
        <v>2.0809999999999995</v>
      </c>
      <c r="F820" s="98"/>
      <c r="G820" s="92" t="str">
        <f>CONCATENATE(D820," - ",E820,", ")</f>
        <v>Transformer body scrap - 2.081, </v>
      </c>
      <c r="H820" s="98"/>
      <c r="I820" s="98" t="e">
        <f ca="1">IF(G819&gt;=6,(MID(H820,1,1)&amp;MID(H820,2,3)+1),CELL("address",Z820))</f>
        <v>#VALUE!</v>
      </c>
      <c r="J820" s="98" t="e">
        <f ca="1">IF(G819&gt;=7,(MID(I820,1,1)&amp;MID(I820,2,3)+1),CELL("address",AA820))</f>
        <v>#VALUE!</v>
      </c>
      <c r="K820" s="98" t="e">
        <f ca="1">IF(G819&gt;=8,(MID(J820,1,1)&amp;MID(J820,2,3)+1),CELL("address",AB820))</f>
        <v>#VALUE!</v>
      </c>
      <c r="L820" s="98" t="e">
        <f ca="1">IF(G819&gt;=9,(MID(K820,1,1)&amp;MID(K820,2,3)+1),CELL("address",AC820))</f>
        <v>#VALUE!</v>
      </c>
      <c r="M820" s="98" t="e">
        <f ca="1">IF(G819&gt;=10,(MID(L820,1,1)&amp;MID(L820,2,3)+1),CELL("address",AD820))</f>
        <v>#VALUE!</v>
      </c>
      <c r="N820" s="98" t="e">
        <f ca="1">IF(G819&gt;=11,(MID(M820,1,1)&amp;MID(M820,2,3)+1),CELL("address",AE820))</f>
        <v>#VALUE!</v>
      </c>
      <c r="O820" s="98" t="e">
        <f ca="1">IF(G819&gt;=12,(MID(N820,1,1)&amp;MID(N820,2,3)+1),CELL("address",AF820))</f>
        <v>#VALUE!</v>
      </c>
    </row>
    <row r="821" spans="1:15" ht="15" customHeight="1">
      <c r="A821" s="277"/>
      <c r="B821" s="277"/>
      <c r="C821" s="284"/>
      <c r="D821" s="42" t="s">
        <v>61</v>
      </c>
      <c r="E821" s="58">
        <v>0.42999999999999994</v>
      </c>
      <c r="F821" s="98"/>
      <c r="G821" s="92" t="str">
        <f>CONCATENATE(D821," - ",E821,", ")</f>
        <v>MS Rail scrap - 0.43, </v>
      </c>
      <c r="H821" s="98"/>
      <c r="I821" s="98"/>
      <c r="J821" s="98"/>
      <c r="K821" s="98"/>
      <c r="L821" s="98"/>
      <c r="M821" s="98"/>
      <c r="N821" s="98"/>
      <c r="O821" s="98"/>
    </row>
    <row r="822" spans="1:15" ht="15" customHeight="1">
      <c r="A822" s="277"/>
      <c r="B822" s="277"/>
      <c r="C822" s="284"/>
      <c r="D822" s="81" t="s">
        <v>199</v>
      </c>
      <c r="E822" s="58">
        <v>0.072</v>
      </c>
      <c r="F822" s="98"/>
      <c r="G822" s="92" t="str">
        <f>CONCATENATE(D822," - ",E822,", ")</f>
        <v>M.S. Nuts &amp; Bolts Scrap - 0.072, </v>
      </c>
      <c r="H822" s="98"/>
      <c r="I822" s="98"/>
      <c r="J822" s="98"/>
      <c r="K822" s="98"/>
      <c r="L822" s="98"/>
      <c r="M822" s="98"/>
      <c r="N822" s="98"/>
      <c r="O822" s="98"/>
    </row>
    <row r="823" spans="1:15" ht="15" customHeight="1">
      <c r="A823" s="39"/>
      <c r="B823" s="41"/>
      <c r="C823" s="48"/>
      <c r="D823" s="38"/>
      <c r="E823" s="196"/>
      <c r="F823" s="98"/>
      <c r="G823" s="98"/>
      <c r="H823" s="98"/>
      <c r="I823" s="98"/>
      <c r="J823" s="98"/>
      <c r="K823" s="98"/>
      <c r="L823" s="98"/>
      <c r="M823" s="98"/>
      <c r="N823" s="98"/>
      <c r="O823" s="98"/>
    </row>
    <row r="824" spans="1:15" ht="15" customHeight="1">
      <c r="A824" s="53"/>
      <c r="B824" s="54"/>
      <c r="C824" s="54"/>
      <c r="D824" s="55"/>
      <c r="E824" s="175">
        <f>SUM(E826:E829)</f>
        <v>2.1209999999999996</v>
      </c>
      <c r="F824" s="98"/>
      <c r="G824" s="98"/>
      <c r="H824" s="98"/>
      <c r="I824" s="98"/>
      <c r="J824" s="98"/>
      <c r="K824" s="98"/>
      <c r="L824" s="98"/>
      <c r="M824" s="98"/>
      <c r="N824" s="98"/>
      <c r="O824" s="98"/>
    </row>
    <row r="825" spans="1:18" ht="15" customHeight="1">
      <c r="A825" s="277" t="s">
        <v>5</v>
      </c>
      <c r="B825" s="277"/>
      <c r="C825" s="40" t="s">
        <v>17</v>
      </c>
      <c r="D825" s="258" t="s">
        <v>18</v>
      </c>
      <c r="E825" s="39" t="s">
        <v>7</v>
      </c>
      <c r="F825" s="98"/>
      <c r="G825" s="93" t="str">
        <f>CONCATENATE("Misc. Iron Scrap, Lying at ",C826,". Quantity in MT - ")</f>
        <v>Misc. Iron Scrap, Lying at CS Malout. Quantity in MT - </v>
      </c>
      <c r="H825" s="274" t="str">
        <f ca="1">CONCATENATE(G825,G826,(INDIRECT(I826)),(INDIRECT(J826)),(INDIRECT(K826)),(INDIRECT(L826)),(INDIRECT(M826)),(INDIRECT(N826)),(INDIRECT(O826)),(INDIRECT(P826)),(INDIRECT(Q826)),(INDIRECT(R826)),".")</f>
        <v>Misc. Iron Scrap, Lying at CS Malout. Quantity in MT - MS iron scrap - 2.073, M.S. Nuts &amp; Bolts Scrap - 0.025, G.I. Scrap - 0.002, G.I. Wire/GSL scrap - 0.021, .</v>
      </c>
      <c r="I825" s="98" t="str">
        <f aca="true" ca="1" t="array" ref="I825">CELL("address",INDEX(G825:G843,MATCH(TRUE,ISBLANK(G825:G843),0)))</f>
        <v>$G$830</v>
      </c>
      <c r="J825" s="98">
        <f aca="true" t="array" ref="J825">MATCH(TRUE,ISBLANK(G825:G843),0)</f>
        <v>6</v>
      </c>
      <c r="K825" s="98">
        <f>J825-3</f>
        <v>3</v>
      </c>
      <c r="L825" s="98"/>
      <c r="M825" s="98"/>
      <c r="N825" s="98"/>
      <c r="O825" s="98"/>
      <c r="P825" s="98"/>
      <c r="Q825" s="98"/>
      <c r="R825" s="98"/>
    </row>
    <row r="826" spans="1:18" ht="15" customHeight="1">
      <c r="A826" s="277" t="s">
        <v>496</v>
      </c>
      <c r="B826" s="277"/>
      <c r="C826" s="284" t="s">
        <v>95</v>
      </c>
      <c r="D826" s="42" t="s">
        <v>29</v>
      </c>
      <c r="E826" s="69">
        <v>2.073</v>
      </c>
      <c r="F826" s="98"/>
      <c r="G826" s="92" t="str">
        <f>CONCATENATE(D826," - ",E826,", ")</f>
        <v>MS iron scrap - 2.073, </v>
      </c>
      <c r="H826" s="274"/>
      <c r="I826" s="98" t="str">
        <f ca="1">IF(J825&gt;=3,(MID(I825,2,1)&amp;MID(I825,4,3)-K825),CELL("address",Z826))</f>
        <v>G827</v>
      </c>
      <c r="J826" s="98" t="str">
        <f ca="1">IF(J825&gt;=4,(MID(I826,1,1)&amp;MID(I826,2,3)+1),CELL("address",AA826))</f>
        <v>G828</v>
      </c>
      <c r="K826" s="98" t="str">
        <f ca="1">IF(J825&gt;=5,(MID(J826,1,1)&amp;MID(J826,2,3)+1),CELL("address",AB826))</f>
        <v>G829</v>
      </c>
      <c r="L826" s="98" t="str">
        <f ca="1">IF(J825&gt;=6,(MID(K826,1,1)&amp;MID(K826,2,3)+1),CELL("address",AC826))</f>
        <v>G830</v>
      </c>
      <c r="M826" s="98" t="str">
        <f ca="1">IF(J825&gt;=7,(MID(L826,1,1)&amp;MID(L826,2,3)+1),CELL("address",AD826))</f>
        <v>$AD$826</v>
      </c>
      <c r="N826" s="98" t="str">
        <f ca="1">IF(J825&gt;=8,(MID(M826,1,1)&amp;MID(M826,2,3)+1),CELL("address",AE826))</f>
        <v>$AE$826</v>
      </c>
      <c r="O826" s="98" t="str">
        <f ca="1">IF(J825&gt;=9,(MID(N826,1,1)&amp;MID(N826,2,3)+1),CELL("address",AF826))</f>
        <v>$AF$826</v>
      </c>
      <c r="P826" s="98" t="str">
        <f ca="1">IF(J825&gt;=10,(MID(O826,1,1)&amp;MID(O826,2,3)+1),CELL("address",AG826))</f>
        <v>$AG$826</v>
      </c>
      <c r="Q826" s="98" t="str">
        <f ca="1">IF(J825&gt;=11,(MID(P826,1,1)&amp;MID(P826,2,3)+1),CELL("address",AH826))</f>
        <v>$AH$826</v>
      </c>
      <c r="R826" s="98" t="str">
        <f ca="1">IF(J825&gt;=12,(MID(Q826,1,1)&amp;MID(Q826,2,3)+1),CELL("address",AI826))</f>
        <v>$AI$826</v>
      </c>
    </row>
    <row r="827" spans="1:15" ht="15" customHeight="1">
      <c r="A827" s="277"/>
      <c r="B827" s="277"/>
      <c r="C827" s="284"/>
      <c r="D827" s="224" t="s">
        <v>199</v>
      </c>
      <c r="E827" s="225">
        <v>0.025</v>
      </c>
      <c r="F827" s="98"/>
      <c r="G827" s="92" t="str">
        <f>CONCATENATE(D827," - ",E827,", ")</f>
        <v>M.S. Nuts &amp; Bolts Scrap - 0.025, </v>
      </c>
      <c r="H827" s="98"/>
      <c r="I827" s="98"/>
      <c r="J827" s="98"/>
      <c r="K827" s="98"/>
      <c r="L827" s="98"/>
      <c r="M827" s="98"/>
      <c r="N827" s="98"/>
      <c r="O827" s="98"/>
    </row>
    <row r="828" spans="1:15" ht="15" customHeight="1">
      <c r="A828" s="277"/>
      <c r="B828" s="277"/>
      <c r="C828" s="284"/>
      <c r="D828" s="81" t="s">
        <v>198</v>
      </c>
      <c r="E828" s="58">
        <v>0.002</v>
      </c>
      <c r="F828" s="98"/>
      <c r="G828" s="92" t="str">
        <f>CONCATENATE(D828," - ",E828,", ")</f>
        <v>G.I. Scrap - 0.002, </v>
      </c>
      <c r="H828" s="98"/>
      <c r="I828" s="98"/>
      <c r="J828" s="98"/>
      <c r="K828" s="98"/>
      <c r="L828" s="98"/>
      <c r="M828" s="98"/>
      <c r="N828" s="98"/>
      <c r="O828" s="98"/>
    </row>
    <row r="829" spans="1:15" ht="15" customHeight="1">
      <c r="A829" s="277"/>
      <c r="B829" s="277"/>
      <c r="C829" s="284"/>
      <c r="D829" s="45" t="s">
        <v>497</v>
      </c>
      <c r="E829" s="58">
        <v>0.021</v>
      </c>
      <c r="F829" s="98"/>
      <c r="G829" s="92" t="str">
        <f>CONCATENATE(D829," - ",E829,", ")</f>
        <v>G.I. Wire/GSL scrap - 0.021, </v>
      </c>
      <c r="H829" s="98"/>
      <c r="I829" s="98"/>
      <c r="J829" s="98"/>
      <c r="K829" s="98"/>
      <c r="L829" s="98"/>
      <c r="M829" s="98"/>
      <c r="N829" s="98"/>
      <c r="O829" s="98"/>
    </row>
    <row r="830" spans="1:15" ht="15" customHeight="1">
      <c r="A830" s="39"/>
      <c r="B830" s="41"/>
      <c r="C830" s="48"/>
      <c r="D830" s="38"/>
      <c r="E830" s="196"/>
      <c r="F830" s="98"/>
      <c r="G830" s="98"/>
      <c r="H830" s="98"/>
      <c r="I830" s="98"/>
      <c r="J830" s="98"/>
      <c r="K830" s="98"/>
      <c r="L830" s="98"/>
      <c r="M830" s="98"/>
      <c r="N830" s="98"/>
      <c r="O830" s="98"/>
    </row>
    <row r="831" spans="1:15" ht="15" customHeight="1">
      <c r="A831" s="53"/>
      <c r="B831" s="54"/>
      <c r="C831" s="54"/>
      <c r="D831" s="55"/>
      <c r="E831" s="175">
        <f>SUM(E833:E836)</f>
        <v>2.7849999999999997</v>
      </c>
      <c r="F831" s="98"/>
      <c r="G831" s="98"/>
      <c r="H831" s="98"/>
      <c r="I831" s="98"/>
      <c r="J831" s="98"/>
      <c r="K831" s="98"/>
      <c r="L831" s="98"/>
      <c r="M831" s="98"/>
      <c r="N831" s="98"/>
      <c r="O831" s="98"/>
    </row>
    <row r="832" spans="1:18" ht="15" customHeight="1">
      <c r="A832" s="277" t="s">
        <v>5</v>
      </c>
      <c r="B832" s="277"/>
      <c r="C832" s="40" t="s">
        <v>17</v>
      </c>
      <c r="D832" s="258" t="s">
        <v>18</v>
      </c>
      <c r="E832" s="39" t="s">
        <v>7</v>
      </c>
      <c r="F832" s="98"/>
      <c r="G832" s="93" t="str">
        <f>CONCATENATE("Misc. Iron Scrap, Lying at ",C833,". Quantity in MT - ")</f>
        <v>Misc. Iron Scrap, Lying at CS Bathinda. Quantity in MT - </v>
      </c>
      <c r="H832" s="274" t="str">
        <f ca="1">CONCATENATE(G832,G833,(INDIRECT(I833)),(INDIRECT(J833)),(INDIRECT(K833)),(INDIRECT(L833)),(INDIRECT(M833)),(INDIRECT(N833)),(INDIRECT(O833)),(INDIRECT(P833)),(INDIRECT(Q833)),(INDIRECT(R833)),".")</f>
        <v>Misc. Iron Scrap, Lying at CS Bathinda. Quantity in MT - MS iron scrap - 1.912, MS Rail scrap - 0.8, Teen Patra scrap - 0.035, G.I. Scrap - 0.038, .</v>
      </c>
      <c r="I832" s="98" t="str">
        <f aca="true" ca="1" t="array" ref="I832">CELL("address",INDEX(G832:G850,MATCH(TRUE,ISBLANK(G832:G850),0)))</f>
        <v>$G$837</v>
      </c>
      <c r="J832" s="98">
        <f aca="true" t="array" ref="J832">MATCH(TRUE,ISBLANK(G832:G850),0)</f>
        <v>6</v>
      </c>
      <c r="K832" s="98">
        <f>J832-3</f>
        <v>3</v>
      </c>
      <c r="L832" s="98"/>
      <c r="M832" s="98"/>
      <c r="N832" s="98"/>
      <c r="O832" s="98"/>
      <c r="P832" s="98"/>
      <c r="Q832" s="98"/>
      <c r="R832" s="98"/>
    </row>
    <row r="833" spans="1:18" ht="15" customHeight="1">
      <c r="A833" s="277" t="s">
        <v>536</v>
      </c>
      <c r="B833" s="277"/>
      <c r="C833" s="284" t="s">
        <v>63</v>
      </c>
      <c r="D833" s="42" t="s">
        <v>29</v>
      </c>
      <c r="E833" s="69">
        <v>1.912</v>
      </c>
      <c r="F833" s="98"/>
      <c r="G833" s="92" t="str">
        <f>CONCATENATE(D833," - ",E833,", ")</f>
        <v>MS iron scrap - 1.912, </v>
      </c>
      <c r="H833" s="274"/>
      <c r="I833" s="98" t="str">
        <f ca="1">IF(J832&gt;=3,(MID(I832,2,1)&amp;MID(I832,4,3)-K832),CELL("address",Z833))</f>
        <v>G834</v>
      </c>
      <c r="J833" s="98" t="str">
        <f ca="1">IF(J832&gt;=4,(MID(I833,1,1)&amp;MID(I833,2,3)+1),CELL("address",AA833))</f>
        <v>G835</v>
      </c>
      <c r="K833" s="98" t="str">
        <f ca="1">IF(J832&gt;=5,(MID(J833,1,1)&amp;MID(J833,2,3)+1),CELL("address",AB833))</f>
        <v>G836</v>
      </c>
      <c r="L833" s="98" t="str">
        <f ca="1">IF(J832&gt;=6,(MID(K833,1,1)&amp;MID(K833,2,3)+1),CELL("address",AC833))</f>
        <v>G837</v>
      </c>
      <c r="M833" s="98" t="str">
        <f ca="1">IF(J832&gt;=7,(MID(L833,1,1)&amp;MID(L833,2,3)+1),CELL("address",AD833))</f>
        <v>$AD$833</v>
      </c>
      <c r="N833" s="98" t="str">
        <f ca="1">IF(J832&gt;=8,(MID(M833,1,1)&amp;MID(M833,2,3)+1),CELL("address",AE833))</f>
        <v>$AE$833</v>
      </c>
      <c r="O833" s="98" t="str">
        <f ca="1">IF(J832&gt;=9,(MID(N833,1,1)&amp;MID(N833,2,3)+1),CELL("address",AF833))</f>
        <v>$AF$833</v>
      </c>
      <c r="P833" s="98" t="str">
        <f ca="1">IF(J832&gt;=10,(MID(O833,1,1)&amp;MID(O833,2,3)+1),CELL("address",AG833))</f>
        <v>$AG$833</v>
      </c>
      <c r="Q833" s="98" t="str">
        <f ca="1">IF(J832&gt;=11,(MID(P833,1,1)&amp;MID(P833,2,3)+1),CELL("address",AH833))</f>
        <v>$AH$833</v>
      </c>
      <c r="R833" s="98" t="str">
        <f ca="1">IF(J832&gt;=12,(MID(Q833,1,1)&amp;MID(Q833,2,3)+1),CELL("address",AI833))</f>
        <v>$AI$833</v>
      </c>
    </row>
    <row r="834" spans="1:15" ht="15" customHeight="1">
      <c r="A834" s="277"/>
      <c r="B834" s="277"/>
      <c r="C834" s="284"/>
      <c r="D834" s="42" t="s">
        <v>61</v>
      </c>
      <c r="E834" s="69">
        <v>0.8</v>
      </c>
      <c r="F834" s="98"/>
      <c r="G834" s="92" t="str">
        <f>CONCATENATE(D834," - ",E834,", ")</f>
        <v>MS Rail scrap - 0.8, </v>
      </c>
      <c r="H834" s="98"/>
      <c r="I834" s="98" t="e">
        <f ca="1">IF(G833&gt;=6,(MID(H834,1,1)&amp;MID(H834,2,3)+1),CELL("address",Z834))</f>
        <v>#VALUE!</v>
      </c>
      <c r="J834" s="98" t="e">
        <f ca="1">IF(G833&gt;=7,(MID(I834,1,1)&amp;MID(I834,2,3)+1),CELL("address",AA834))</f>
        <v>#VALUE!</v>
      </c>
      <c r="K834" s="98" t="e">
        <f ca="1">IF(G833&gt;=8,(MID(J834,1,1)&amp;MID(J834,2,3)+1),CELL("address",AB834))</f>
        <v>#VALUE!</v>
      </c>
      <c r="L834" s="98" t="e">
        <f ca="1">IF(G833&gt;=9,(MID(K834,1,1)&amp;MID(K834,2,3)+1),CELL("address",AC834))</f>
        <v>#VALUE!</v>
      </c>
      <c r="M834" s="98" t="e">
        <f ca="1">IF(G833&gt;=10,(MID(L834,1,1)&amp;MID(L834,2,3)+1),CELL("address",AD834))</f>
        <v>#VALUE!</v>
      </c>
      <c r="N834" s="98" t="e">
        <f ca="1">IF(G833&gt;=11,(MID(M834,1,1)&amp;MID(M834,2,3)+1),CELL("address",AE834))</f>
        <v>#VALUE!</v>
      </c>
      <c r="O834" s="98" t="e">
        <f ca="1">IF(G833&gt;=12,(MID(N834,1,1)&amp;MID(N834,2,3)+1),CELL("address",AF834))</f>
        <v>#VALUE!</v>
      </c>
    </row>
    <row r="835" spans="1:15" ht="15" customHeight="1">
      <c r="A835" s="277"/>
      <c r="B835" s="277"/>
      <c r="C835" s="284"/>
      <c r="D835" s="45" t="s">
        <v>64</v>
      </c>
      <c r="E835" s="58">
        <v>0.035</v>
      </c>
      <c r="F835" s="98"/>
      <c r="G835" s="92" t="str">
        <f>CONCATENATE(D835," - ",E835,", ")</f>
        <v>Teen Patra scrap - 0.035, </v>
      </c>
      <c r="H835" s="98"/>
      <c r="I835" s="98"/>
      <c r="J835" s="98"/>
      <c r="K835" s="98"/>
      <c r="L835" s="98"/>
      <c r="M835" s="98"/>
      <c r="N835" s="98"/>
      <c r="O835" s="98"/>
    </row>
    <row r="836" spans="1:15" ht="15" customHeight="1">
      <c r="A836" s="277"/>
      <c r="B836" s="277"/>
      <c r="C836" s="284"/>
      <c r="D836" s="81" t="s">
        <v>198</v>
      </c>
      <c r="E836" s="58">
        <v>0.038</v>
      </c>
      <c r="F836" s="98"/>
      <c r="G836" s="92" t="str">
        <f>CONCATENATE(D836," - ",E836,", ")</f>
        <v>G.I. Scrap - 0.038, </v>
      </c>
      <c r="H836" s="98"/>
      <c r="I836" s="98"/>
      <c r="J836" s="98"/>
      <c r="K836" s="98"/>
      <c r="L836" s="98"/>
      <c r="M836" s="98"/>
      <c r="N836" s="98"/>
      <c r="O836" s="98"/>
    </row>
    <row r="837" spans="1:15" ht="15" customHeight="1">
      <c r="A837" s="39"/>
      <c r="B837" s="41"/>
      <c r="C837" s="48"/>
      <c r="D837" s="38"/>
      <c r="E837" s="196"/>
      <c r="F837" s="98"/>
      <c r="G837" s="98"/>
      <c r="H837" s="98"/>
      <c r="I837" s="98"/>
      <c r="J837" s="98"/>
      <c r="K837" s="98"/>
      <c r="L837" s="98"/>
      <c r="M837" s="98"/>
      <c r="N837" s="98"/>
      <c r="O837" s="98"/>
    </row>
    <row r="838" spans="1:15" ht="15" customHeight="1">
      <c r="A838" s="53"/>
      <c r="B838" s="54"/>
      <c r="C838" s="54"/>
      <c r="D838" s="56"/>
      <c r="E838" s="52">
        <f>SUM(E840:E841)</f>
        <v>0.7769999999999999</v>
      </c>
      <c r="F838" s="98"/>
      <c r="G838" s="98"/>
      <c r="H838" s="98"/>
      <c r="I838" s="98"/>
      <c r="J838" s="98"/>
      <c r="K838" s="98"/>
      <c r="L838" s="98"/>
      <c r="M838" s="98"/>
      <c r="N838" s="98"/>
      <c r="O838" s="98"/>
    </row>
    <row r="839" spans="1:18" ht="15" customHeight="1">
      <c r="A839" s="362" t="s">
        <v>5</v>
      </c>
      <c r="B839" s="362"/>
      <c r="C839" s="23" t="s">
        <v>17</v>
      </c>
      <c r="D839" s="72" t="s">
        <v>18</v>
      </c>
      <c r="E839" s="23" t="s">
        <v>7</v>
      </c>
      <c r="F839" s="98"/>
      <c r="G839" s="93" t="str">
        <f>CONCATENATE("Misc. Iron Scrap, Lying at ",C840,". Quantity in MT - ")</f>
        <v>Misc. Iron Scrap, Lying at OL Moga. Quantity in MT - </v>
      </c>
      <c r="H839" s="274" t="str">
        <f ca="1">CONCATENATE(G839,G840,(INDIRECT(I840)),(INDIRECT(J840)),(INDIRECT(K840)),(INDIRECT(L840)),(INDIRECT(M840)),(INDIRECT(N840)),(INDIRECT(O840)),(INDIRECT(P840)),(INDIRECT(Q840)),(INDIRECT(R840)),".")</f>
        <v>Misc. Iron Scrap, Lying at OL Moga. Quantity in MT - MS iron scrap - 0.697, Transformer body scrap - 0.08, .</v>
      </c>
      <c r="I839" s="98" t="str">
        <f aca="true" ca="1" t="array" ref="I839">CELL("address",INDEX(G839:G857,MATCH(TRUE,ISBLANK(G839:G857),0)))</f>
        <v>$G$842</v>
      </c>
      <c r="J839" s="98">
        <f aca="true" t="array" ref="J839">MATCH(TRUE,ISBLANK(G839:G857),0)</f>
        <v>4</v>
      </c>
      <c r="K839" s="98">
        <f>J839-3</f>
        <v>1</v>
      </c>
      <c r="L839" s="98"/>
      <c r="M839" s="98"/>
      <c r="N839" s="98"/>
      <c r="O839" s="98"/>
      <c r="P839" s="98"/>
      <c r="Q839" s="98"/>
      <c r="R839" s="98"/>
    </row>
    <row r="840" spans="1:18" ht="15" customHeight="1">
      <c r="A840" s="277" t="s">
        <v>537</v>
      </c>
      <c r="B840" s="277"/>
      <c r="C840" s="284" t="s">
        <v>270</v>
      </c>
      <c r="D840" s="42" t="s">
        <v>29</v>
      </c>
      <c r="E840" s="46">
        <v>0.697</v>
      </c>
      <c r="F840" s="98"/>
      <c r="G840" s="92" t="str">
        <f>CONCATENATE(D840," - ",E840,", ")</f>
        <v>MS iron scrap - 0.697, </v>
      </c>
      <c r="H840" s="274"/>
      <c r="I840" s="98" t="str">
        <f ca="1">IF(J839&gt;=3,(MID(I839,2,1)&amp;MID(I839,4,3)-K839),CELL("address",Z840))</f>
        <v>G841</v>
      </c>
      <c r="J840" s="98" t="str">
        <f ca="1">IF(J839&gt;=4,(MID(I840,1,1)&amp;MID(I840,2,3)+1),CELL("address",AA840))</f>
        <v>G842</v>
      </c>
      <c r="K840" s="98" t="str">
        <f ca="1">IF(J839&gt;=5,(MID(J840,1,1)&amp;MID(J840,2,3)+1),CELL("address",AB840))</f>
        <v>$AB$840</v>
      </c>
      <c r="L840" s="98" t="str">
        <f ca="1">IF(J839&gt;=6,(MID(K840,1,1)&amp;MID(K840,2,3)+1),CELL("address",AC840))</f>
        <v>$AC$840</v>
      </c>
      <c r="M840" s="98" t="str">
        <f ca="1">IF(J839&gt;=7,(MID(L840,1,1)&amp;MID(L840,2,3)+1),CELL("address",AD840))</f>
        <v>$AD$840</v>
      </c>
      <c r="N840" s="98" t="str">
        <f ca="1">IF(J839&gt;=8,(MID(M840,1,1)&amp;MID(M840,2,3)+1),CELL("address",AE840))</f>
        <v>$AE$840</v>
      </c>
      <c r="O840" s="98" t="str">
        <f ca="1">IF(J839&gt;=9,(MID(N840,1,1)&amp;MID(N840,2,3)+1),CELL("address",AF840))</f>
        <v>$AF$840</v>
      </c>
      <c r="P840" s="98" t="str">
        <f ca="1">IF(J839&gt;=10,(MID(O840,1,1)&amp;MID(O840,2,3)+1),CELL("address",AG840))</f>
        <v>$AG$840</v>
      </c>
      <c r="Q840" s="98" t="str">
        <f ca="1">IF(J839&gt;=11,(MID(P840,1,1)&amp;MID(P840,2,3)+1),CELL("address",AH840))</f>
        <v>$AH$840</v>
      </c>
      <c r="R840" s="98" t="str">
        <f ca="1">IF(J839&gt;=12,(MID(Q840,1,1)&amp;MID(Q840,2,3)+1),CELL("address",AI840))</f>
        <v>$AI$840</v>
      </c>
    </row>
    <row r="841" spans="1:15" ht="15" customHeight="1">
      <c r="A841" s="277"/>
      <c r="B841" s="277"/>
      <c r="C841" s="284"/>
      <c r="D841" s="81" t="s">
        <v>60</v>
      </c>
      <c r="E841" s="46">
        <v>0.08</v>
      </c>
      <c r="F841" s="98"/>
      <c r="G841" s="92" t="str">
        <f>CONCATENATE(D841," - ",E841,", ")</f>
        <v>Transformer body scrap - 0.08, </v>
      </c>
      <c r="H841" s="98"/>
      <c r="I841" s="98"/>
      <c r="J841" s="98"/>
      <c r="K841" s="98"/>
      <c r="L841" s="98"/>
      <c r="M841" s="98"/>
      <c r="N841" s="98"/>
      <c r="O841" s="98"/>
    </row>
    <row r="842" spans="1:15" ht="15" customHeight="1">
      <c r="A842" s="39"/>
      <c r="B842" s="41"/>
      <c r="C842" s="48"/>
      <c r="D842" s="38"/>
      <c r="E842" s="196"/>
      <c r="F842" s="98"/>
      <c r="G842" s="98"/>
      <c r="H842" s="98"/>
      <c r="I842" s="98"/>
      <c r="J842" s="98"/>
      <c r="K842" s="98"/>
      <c r="L842" s="98"/>
      <c r="M842" s="98"/>
      <c r="N842" s="98"/>
      <c r="O842" s="98"/>
    </row>
    <row r="843" spans="1:15" ht="15" customHeight="1">
      <c r="A843" s="53"/>
      <c r="B843" s="54"/>
      <c r="C843" s="54"/>
      <c r="D843" s="55"/>
      <c r="E843" s="175">
        <f>SUM(E845:E846)</f>
        <v>1.035</v>
      </c>
      <c r="F843" s="98"/>
      <c r="G843" s="98"/>
      <c r="H843" s="98"/>
      <c r="I843" s="98"/>
      <c r="J843" s="98"/>
      <c r="K843" s="98"/>
      <c r="L843" s="98"/>
      <c r="M843" s="98"/>
      <c r="N843" s="98"/>
      <c r="O843" s="98"/>
    </row>
    <row r="844" spans="1:18" ht="15" customHeight="1">
      <c r="A844" s="277" t="s">
        <v>5</v>
      </c>
      <c r="B844" s="277"/>
      <c r="C844" s="40" t="s">
        <v>17</v>
      </c>
      <c r="D844" s="258" t="s">
        <v>18</v>
      </c>
      <c r="E844" s="39" t="s">
        <v>7</v>
      </c>
      <c r="F844" s="98"/>
      <c r="G844" s="93" t="str">
        <f>CONCATENATE("Misc. Iron Scrap, Lying at ",C845,". Quantity in MT - ")</f>
        <v>Misc. Iron Scrap, Lying at OL Patran. Quantity in MT - </v>
      </c>
      <c r="H844" s="274" t="str">
        <f ca="1">CONCATENATE(G844,G845,(INDIRECT(I845)),(INDIRECT(J845)),(INDIRECT(K845)),(INDIRECT(L845)),(INDIRECT(M845)),(INDIRECT(N845)),(INDIRECT(O845)),(INDIRECT(P845)),(INDIRECT(Q845)),(INDIRECT(R845)),".")</f>
        <v>Misc. Iron Scrap, Lying at OL Patran. Quantity in MT - MS iron scrap - 1.005, Teen Patra scrap - 0.03, .</v>
      </c>
      <c r="I844" s="98" t="str">
        <f aca="true" ca="1" t="array" ref="I844">CELL("address",INDEX(G844:G866,MATCH(TRUE,ISBLANK(G844:G866),0)))</f>
        <v>$G$847</v>
      </c>
      <c r="J844" s="98">
        <f aca="true" t="array" ref="J844">MATCH(TRUE,ISBLANK(G844:G866),0)</f>
        <v>4</v>
      </c>
      <c r="K844" s="98">
        <f>J844-3</f>
        <v>1</v>
      </c>
      <c r="L844" s="98"/>
      <c r="M844" s="98"/>
      <c r="N844" s="98"/>
      <c r="O844" s="98"/>
      <c r="P844" s="98"/>
      <c r="Q844" s="98"/>
      <c r="R844" s="98"/>
    </row>
    <row r="845" spans="1:18" ht="15" customHeight="1">
      <c r="A845" s="277" t="s">
        <v>542</v>
      </c>
      <c r="B845" s="277"/>
      <c r="C845" s="284" t="s">
        <v>102</v>
      </c>
      <c r="D845" s="42" t="s">
        <v>29</v>
      </c>
      <c r="E845" s="69">
        <v>1.005</v>
      </c>
      <c r="F845" s="98"/>
      <c r="G845" s="92" t="str">
        <f>CONCATENATE(D845," - ",E845,", ")</f>
        <v>MS iron scrap - 1.005, </v>
      </c>
      <c r="H845" s="274"/>
      <c r="I845" s="98" t="str">
        <f ca="1">IF(J844&gt;=3,(MID(I844,2,1)&amp;MID(I844,4,3)-K844),CELL("address",Z845))</f>
        <v>G846</v>
      </c>
      <c r="J845" s="98" t="str">
        <f ca="1">IF(J844&gt;=4,(MID(I845,1,1)&amp;MID(I845,2,3)+1),CELL("address",AA845))</f>
        <v>G847</v>
      </c>
      <c r="K845" s="98" t="str">
        <f ca="1">IF(J844&gt;=5,(MID(J845,1,1)&amp;MID(J845,2,3)+1),CELL("address",AB845))</f>
        <v>$AB$845</v>
      </c>
      <c r="L845" s="98" t="str">
        <f ca="1">IF(J844&gt;=6,(MID(K845,1,1)&amp;MID(K845,2,3)+1),CELL("address",AC845))</f>
        <v>$AC$845</v>
      </c>
      <c r="M845" s="98" t="str">
        <f ca="1">IF(J844&gt;=7,(MID(L845,1,1)&amp;MID(L845,2,3)+1),CELL("address",AD845))</f>
        <v>$AD$845</v>
      </c>
      <c r="N845" s="98" t="str">
        <f ca="1">IF(J844&gt;=8,(MID(M845,1,1)&amp;MID(M845,2,3)+1),CELL("address",AE845))</f>
        <v>$AE$845</v>
      </c>
      <c r="O845" s="98" t="str">
        <f ca="1">IF(J844&gt;=9,(MID(N845,1,1)&amp;MID(N845,2,3)+1),CELL("address",AF845))</f>
        <v>$AF$845</v>
      </c>
      <c r="P845" s="98" t="str">
        <f ca="1">IF(J844&gt;=10,(MID(O845,1,1)&amp;MID(O845,2,3)+1),CELL("address",AG845))</f>
        <v>$AG$845</v>
      </c>
      <c r="Q845" s="98" t="str">
        <f ca="1">IF(J844&gt;=11,(MID(P845,1,1)&amp;MID(P845,2,3)+1),CELL("address",AH845))</f>
        <v>$AH$845</v>
      </c>
      <c r="R845" s="98" t="str">
        <f ca="1">IF(J844&gt;=12,(MID(Q845,1,1)&amp;MID(Q845,2,3)+1),CELL("address",AI845))</f>
        <v>$AI$845</v>
      </c>
    </row>
    <row r="846" spans="1:15" ht="15" customHeight="1">
      <c r="A846" s="277"/>
      <c r="B846" s="277"/>
      <c r="C846" s="284"/>
      <c r="D846" s="45" t="s">
        <v>64</v>
      </c>
      <c r="E846" s="69">
        <v>0.03</v>
      </c>
      <c r="F846" s="98"/>
      <c r="G846" s="92" t="str">
        <f>CONCATENATE(D846," - ",E846,", ")</f>
        <v>Teen Patra scrap - 0.03, </v>
      </c>
      <c r="H846" s="98"/>
      <c r="I846" s="98"/>
      <c r="J846" s="98"/>
      <c r="K846" s="98"/>
      <c r="L846" s="98"/>
      <c r="M846" s="98"/>
      <c r="N846" s="98"/>
      <c r="O846" s="98"/>
    </row>
    <row r="847" spans="1:15" ht="15" customHeight="1">
      <c r="A847" s="39"/>
      <c r="B847" s="41"/>
      <c r="C847" s="48"/>
      <c r="D847" s="211"/>
      <c r="E847" s="58"/>
      <c r="F847" s="98"/>
      <c r="G847" s="98"/>
      <c r="H847" s="98"/>
      <c r="I847" s="98"/>
      <c r="J847" s="98"/>
      <c r="K847" s="98"/>
      <c r="L847" s="98"/>
      <c r="M847" s="98"/>
      <c r="N847" s="98"/>
      <c r="O847" s="98"/>
    </row>
    <row r="848" spans="1:15" ht="15" customHeight="1">
      <c r="A848" s="53"/>
      <c r="B848" s="54"/>
      <c r="C848" s="54"/>
      <c r="D848" s="55"/>
      <c r="E848" s="175">
        <f>SUM(E850:E853)</f>
        <v>3.057</v>
      </c>
      <c r="F848" s="98"/>
      <c r="G848" s="98"/>
      <c r="H848" s="98"/>
      <c r="I848" s="98"/>
      <c r="J848" s="98"/>
      <c r="K848" s="98"/>
      <c r="L848" s="98"/>
      <c r="M848" s="98"/>
      <c r="N848" s="98"/>
      <c r="O848" s="98"/>
    </row>
    <row r="849" spans="1:18" ht="15" customHeight="1">
      <c r="A849" s="277" t="s">
        <v>5</v>
      </c>
      <c r="B849" s="277"/>
      <c r="C849" s="40" t="s">
        <v>17</v>
      </c>
      <c r="D849" s="258" t="s">
        <v>18</v>
      </c>
      <c r="E849" s="39" t="s">
        <v>7</v>
      </c>
      <c r="F849" s="98"/>
      <c r="G849" s="93" t="str">
        <f>CONCATENATE("Misc. Iron Scrap, Lying at ",C850,". Quantity in MT - ")</f>
        <v>Misc. Iron Scrap, Lying at OL Ropar. Quantity in MT - </v>
      </c>
      <c r="H849" s="274" t="str">
        <f ca="1">CONCATENATE(G849,G850,(INDIRECT(I850)),(INDIRECT(J850)),(INDIRECT(K850)),(INDIRECT(L850)),(INDIRECT(M850)),(INDIRECT(N850)),(INDIRECT(O850)),(INDIRECT(P850)),(INDIRECT(Q850)),(INDIRECT(R850)),".")</f>
        <v>Misc. Iron Scrap, Lying at OL Ropar. Quantity in MT - MS iron scrap - 1.384, MS Rail scrap - 0.177, Transformer body scrap - 1.409, G.I. Scrap - 0.087, .</v>
      </c>
      <c r="I849" s="98" t="str">
        <f aca="true" ca="1" t="array" ref="I849">CELL("address",INDEX(G849:G871,MATCH(TRUE,ISBLANK(G849:G871),0)))</f>
        <v>$G$854</v>
      </c>
      <c r="J849" s="98">
        <f aca="true" t="array" ref="J849">MATCH(TRUE,ISBLANK(G849:G871),0)</f>
        <v>6</v>
      </c>
      <c r="K849" s="98">
        <f>J849-3</f>
        <v>3</v>
      </c>
      <c r="L849" s="98"/>
      <c r="M849" s="98"/>
      <c r="N849" s="98"/>
      <c r="O849" s="98"/>
      <c r="P849" s="98"/>
      <c r="Q849" s="98"/>
      <c r="R849" s="98"/>
    </row>
    <row r="850" spans="1:18" ht="15" customHeight="1">
      <c r="A850" s="277" t="s">
        <v>543</v>
      </c>
      <c r="B850" s="277"/>
      <c r="C850" s="284" t="s">
        <v>98</v>
      </c>
      <c r="D850" s="272" t="s">
        <v>29</v>
      </c>
      <c r="E850" s="264">
        <v>1.384</v>
      </c>
      <c r="F850" s="227" t="s">
        <v>320</v>
      </c>
      <c r="G850" s="92" t="str">
        <f>CONCATENATE(D850," - ",E850,", ")</f>
        <v>MS iron scrap - 1.384, </v>
      </c>
      <c r="H850" s="274"/>
      <c r="I850" s="98" t="str">
        <f ca="1">IF(J849&gt;=3,(MID(I849,2,1)&amp;MID(I849,4,3)-K849),CELL("address",Z850))</f>
        <v>G851</v>
      </c>
      <c r="J850" s="98" t="str">
        <f ca="1">IF(J849&gt;=4,(MID(I850,1,1)&amp;MID(I850,2,3)+1),CELL("address",AA850))</f>
        <v>G852</v>
      </c>
      <c r="K850" s="98" t="str">
        <f ca="1">IF(J849&gt;=5,(MID(J850,1,1)&amp;MID(J850,2,3)+1),CELL("address",AB850))</f>
        <v>G853</v>
      </c>
      <c r="L850" s="98" t="str">
        <f ca="1">IF(J849&gt;=6,(MID(K850,1,1)&amp;MID(K850,2,3)+1),CELL("address",AC850))</f>
        <v>G854</v>
      </c>
      <c r="M850" s="98" t="str">
        <f ca="1">IF(J849&gt;=7,(MID(L850,1,1)&amp;MID(L850,2,3)+1),CELL("address",AD850))</f>
        <v>$AD$850</v>
      </c>
      <c r="N850" s="98" t="str">
        <f ca="1">IF(J849&gt;=8,(MID(M850,1,1)&amp;MID(M850,2,3)+1),CELL("address",AE850))</f>
        <v>$AE$850</v>
      </c>
      <c r="O850" s="98" t="str">
        <f ca="1">IF(J849&gt;=9,(MID(N850,1,1)&amp;MID(N850,2,3)+1),CELL("address",AF850))</f>
        <v>$AF$850</v>
      </c>
      <c r="P850" s="98" t="str">
        <f ca="1">IF(J849&gt;=10,(MID(O850,1,1)&amp;MID(O850,2,3)+1),CELL("address",AG850))</f>
        <v>$AG$850</v>
      </c>
      <c r="Q850" s="98" t="str">
        <f ca="1">IF(J849&gt;=11,(MID(P850,1,1)&amp;MID(P850,2,3)+1),CELL("address",AH850))</f>
        <v>$AH$850</v>
      </c>
      <c r="R850" s="98" t="str">
        <f ca="1">IF(J849&gt;=12,(MID(Q850,1,1)&amp;MID(Q850,2,3)+1),CELL("address",AI850))</f>
        <v>$AI$850</v>
      </c>
    </row>
    <row r="851" spans="1:15" ht="15" customHeight="1">
      <c r="A851" s="277"/>
      <c r="B851" s="277"/>
      <c r="C851" s="284"/>
      <c r="D851" s="272" t="s">
        <v>61</v>
      </c>
      <c r="E851" s="264">
        <v>0.177</v>
      </c>
      <c r="F851" s="227" t="s">
        <v>320</v>
      </c>
      <c r="G851" s="92" t="str">
        <f>CONCATENATE(D851," - ",E851,", ")</f>
        <v>MS Rail scrap - 0.177, </v>
      </c>
      <c r="H851" s="98"/>
      <c r="I851" s="98"/>
      <c r="J851" s="98"/>
      <c r="K851" s="98"/>
      <c r="L851" s="98"/>
      <c r="M851" s="98"/>
      <c r="N851" s="98"/>
      <c r="O851" s="98"/>
    </row>
    <row r="852" spans="1:15" ht="15" customHeight="1">
      <c r="A852" s="277"/>
      <c r="B852" s="277"/>
      <c r="C852" s="284"/>
      <c r="D852" s="168" t="s">
        <v>60</v>
      </c>
      <c r="E852" s="196">
        <v>1.409</v>
      </c>
      <c r="F852" s="227" t="s">
        <v>320</v>
      </c>
      <c r="G852" s="92" t="str">
        <f>CONCATENATE(D852," - ",E852,", ")</f>
        <v>Transformer body scrap - 1.409, </v>
      </c>
      <c r="H852" s="98"/>
      <c r="I852" s="98"/>
      <c r="J852" s="98"/>
      <c r="K852" s="98"/>
      <c r="L852" s="98"/>
      <c r="M852" s="98"/>
      <c r="N852" s="98"/>
      <c r="O852" s="98"/>
    </row>
    <row r="853" spans="1:15" ht="15" customHeight="1">
      <c r="A853" s="277"/>
      <c r="B853" s="277"/>
      <c r="C853" s="284"/>
      <c r="D853" s="168" t="s">
        <v>198</v>
      </c>
      <c r="E853" s="196">
        <v>0.087</v>
      </c>
      <c r="F853" s="227" t="s">
        <v>320</v>
      </c>
      <c r="G853" s="92" t="str">
        <f>CONCATENATE(D853," - ",E853,", ")</f>
        <v>G.I. Scrap - 0.087, </v>
      </c>
      <c r="H853" s="98"/>
      <c r="I853" s="98"/>
      <c r="J853" s="98"/>
      <c r="K853" s="98"/>
      <c r="L853" s="98"/>
      <c r="M853" s="98"/>
      <c r="N853" s="98"/>
      <c r="O853" s="98"/>
    </row>
    <row r="854" spans="1:15" ht="15" customHeight="1">
      <c r="A854" s="39"/>
      <c r="B854" s="41"/>
      <c r="C854" s="48"/>
      <c r="D854" s="38"/>
      <c r="E854" s="196"/>
      <c r="F854" s="98"/>
      <c r="G854" s="98"/>
      <c r="H854" s="98"/>
      <c r="I854" s="98"/>
      <c r="J854" s="98"/>
      <c r="K854" s="98"/>
      <c r="L854" s="98"/>
      <c r="M854" s="98"/>
      <c r="N854" s="98"/>
      <c r="O854" s="98"/>
    </row>
    <row r="855" spans="1:8" ht="18.75" customHeight="1">
      <c r="A855" s="53"/>
      <c r="B855" s="54"/>
      <c r="C855" s="54"/>
      <c r="D855" s="55"/>
      <c r="E855" s="175">
        <f>SUM(E857:E859)</f>
        <v>2.501</v>
      </c>
      <c r="H855" s="1"/>
    </row>
    <row r="856" spans="1:18" ht="15" customHeight="1">
      <c r="A856" s="277" t="s">
        <v>5</v>
      </c>
      <c r="B856" s="277"/>
      <c r="C856" s="40" t="s">
        <v>17</v>
      </c>
      <c r="D856" s="258" t="s">
        <v>18</v>
      </c>
      <c r="E856" s="39" t="s">
        <v>7</v>
      </c>
      <c r="G856" s="93" t="str">
        <f>CONCATENATE("Misc. Iron Scrap, Lying at ",C857,". Quantity in MT - ")</f>
        <v>Misc. Iron Scrap, Lying at OL Nabha. Quantity in MT - </v>
      </c>
      <c r="H856" s="274" t="str">
        <f ca="1">CONCATENATE(G856,G857,(INDIRECT(I857)),(INDIRECT(J857)),(INDIRECT(K857)),(INDIRECT(L857)),(INDIRECT(M857)),(INDIRECT(N857)),(INDIRECT(O857)),(INDIRECT(P857)),(INDIRECT(Q857)),(INDIRECT(R857)),".")</f>
        <v>Misc. Iron Scrap, Lying at OL Nabha. Quantity in MT - MS iron scrap - 1.675, Transformer body scrap - 0.559, Lamination scrap - 0.267, .</v>
      </c>
      <c r="I856" s="98" t="str">
        <f aca="true" ca="1" t="array" ref="I856">CELL("address",INDEX(G856:G878,MATCH(TRUE,ISBLANK(G856:G878),0)))</f>
        <v>$G$860</v>
      </c>
      <c r="J856" s="98">
        <f aca="true" t="array" ref="J856">MATCH(TRUE,ISBLANK(G856:G878),0)</f>
        <v>5</v>
      </c>
      <c r="K856" s="98">
        <f>J856-3</f>
        <v>2</v>
      </c>
      <c r="L856" s="98"/>
      <c r="M856" s="98"/>
      <c r="N856" s="98"/>
      <c r="O856" s="98"/>
      <c r="P856" s="98"/>
      <c r="Q856" s="98"/>
      <c r="R856" s="98"/>
    </row>
    <row r="857" spans="1:18" ht="15" customHeight="1">
      <c r="A857" s="277" t="s">
        <v>580</v>
      </c>
      <c r="B857" s="277"/>
      <c r="C857" s="284" t="s">
        <v>104</v>
      </c>
      <c r="D857" s="272" t="s">
        <v>29</v>
      </c>
      <c r="E857" s="264">
        <v>1.675</v>
      </c>
      <c r="F857" s="1" t="s">
        <v>320</v>
      </c>
      <c r="G857" s="92" t="str">
        <f>CONCATENATE(D857," - ",E857,", ")</f>
        <v>MS iron scrap - 1.675, </v>
      </c>
      <c r="H857" s="274"/>
      <c r="I857" s="98" t="str">
        <f ca="1">IF(J856&gt;=3,(MID(I856,2,1)&amp;MID(I856,4,3)-K856),CELL("address",Z857))</f>
        <v>G858</v>
      </c>
      <c r="J857" s="98" t="str">
        <f ca="1">IF(J856&gt;=4,(MID(I857,1,1)&amp;MID(I857,2,3)+1),CELL("address",AA857))</f>
        <v>G859</v>
      </c>
      <c r="K857" s="98" t="str">
        <f ca="1">IF(J856&gt;=5,(MID(J857,1,1)&amp;MID(J857,2,3)+1),CELL("address",AB857))</f>
        <v>G860</v>
      </c>
      <c r="L857" s="98" t="str">
        <f ca="1">IF(J856&gt;=6,(MID(K857,1,1)&amp;MID(K857,2,3)+1),CELL("address",AC857))</f>
        <v>$AC$857</v>
      </c>
      <c r="M857" s="98" t="str">
        <f ca="1">IF(J856&gt;=7,(MID(L857,1,1)&amp;MID(L857,2,3)+1),CELL("address",AD857))</f>
        <v>$AD$857</v>
      </c>
      <c r="N857" s="98" t="str">
        <f ca="1">IF(J856&gt;=8,(MID(M857,1,1)&amp;MID(M857,2,3)+1),CELL("address",AE857))</f>
        <v>$AE$857</v>
      </c>
      <c r="O857" s="98" t="str">
        <f ca="1">IF(J856&gt;=9,(MID(N857,1,1)&amp;MID(N857,2,3)+1),CELL("address",AF857))</f>
        <v>$AF$857</v>
      </c>
      <c r="P857" s="98" t="str">
        <f ca="1">IF(J856&gt;=10,(MID(O857,1,1)&amp;MID(O857,2,3)+1),CELL("address",AG857))</f>
        <v>$AG$857</v>
      </c>
      <c r="Q857" s="98" t="str">
        <f ca="1">IF(J856&gt;=11,(MID(P857,1,1)&amp;MID(P857,2,3)+1),CELL("address",AH857))</f>
        <v>$AH$857</v>
      </c>
      <c r="R857" s="98" t="str">
        <f ca="1">IF(J856&gt;=12,(MID(Q857,1,1)&amp;MID(Q857,2,3)+1),CELL("address",AI857))</f>
        <v>$AI$857</v>
      </c>
    </row>
    <row r="858" spans="1:8" ht="15" customHeight="1">
      <c r="A858" s="277"/>
      <c r="B858" s="277"/>
      <c r="C858" s="284"/>
      <c r="D858" s="168" t="s">
        <v>60</v>
      </c>
      <c r="E858" s="264">
        <v>0.559</v>
      </c>
      <c r="F858" s="1" t="s">
        <v>320</v>
      </c>
      <c r="G858" s="92" t="str">
        <f>CONCATENATE(D858," - ",E858,", ")</f>
        <v>Transformer body scrap - 0.559, </v>
      </c>
      <c r="H858" s="1"/>
    </row>
    <row r="859" spans="1:8" ht="15" customHeight="1">
      <c r="A859" s="277"/>
      <c r="B859" s="277"/>
      <c r="C859" s="284"/>
      <c r="D859" s="34" t="s">
        <v>579</v>
      </c>
      <c r="E859" s="196">
        <v>0.267</v>
      </c>
      <c r="F859" s="1" t="s">
        <v>320</v>
      </c>
      <c r="G859" s="92" t="str">
        <f>CONCATENATE(D859," - ",E859,", ")</f>
        <v>Lamination scrap - 0.267, </v>
      </c>
      <c r="H859" s="1"/>
    </row>
    <row r="860" spans="1:8" ht="15" customHeight="1">
      <c r="A860" s="241"/>
      <c r="B860" s="243"/>
      <c r="C860" s="48"/>
      <c r="D860" s="38"/>
      <c r="E860" s="196"/>
      <c r="G860" s="239"/>
      <c r="H860" s="1"/>
    </row>
    <row r="861" spans="1:8" ht="15" customHeight="1">
      <c r="A861" s="53"/>
      <c r="B861" s="54"/>
      <c r="C861" s="54"/>
      <c r="D861" s="55"/>
      <c r="E861" s="175">
        <f>SUM(E863:E863)</f>
        <v>19</v>
      </c>
      <c r="G861" s="239"/>
      <c r="H861" s="1"/>
    </row>
    <row r="862" spans="1:18" ht="15" customHeight="1">
      <c r="A862" s="277" t="s">
        <v>5</v>
      </c>
      <c r="B862" s="277"/>
      <c r="C862" s="40" t="s">
        <v>17</v>
      </c>
      <c r="D862" s="258" t="s">
        <v>18</v>
      </c>
      <c r="E862" s="39" t="s">
        <v>7</v>
      </c>
      <c r="G862" s="93" t="str">
        <f>CONCATENATE("Misc. Iron Scrap, Lying at ",C863,". Quantity in MT - ")</f>
        <v>Misc. Iron Scrap, Lying at S &amp; T Store Bathinda. Quantity in MT - </v>
      </c>
      <c r="H862" s="274" t="str">
        <f ca="1">CONCATENATE(G862,G863,(INDIRECT(I863)),(INDIRECT(J863)),(INDIRECT(K863)),(INDIRECT(L863)),(INDIRECT(M863)),(INDIRECT(N863)),(INDIRECT(O863)),(INDIRECT(P863)),(INDIRECT(Q863)),(INDIRECT(R863)),".")</f>
        <v>Misc. Iron Scrap, Lying at S &amp; T Store Bathinda. Quantity in MT - MS iron scrap - 19, .</v>
      </c>
      <c r="I862" s="98" t="str">
        <f aca="true" ca="1" t="array" ref="I862">CELL("address",INDEX(G862:G884,MATCH(TRUE,ISBLANK(G862:G884),0)))</f>
        <v>$G$864</v>
      </c>
      <c r="J862" s="98">
        <f aca="true" t="array" ref="J862">MATCH(TRUE,ISBLANK(G862:G884),0)</f>
        <v>3</v>
      </c>
      <c r="K862" s="98">
        <f>J862-3</f>
        <v>0</v>
      </c>
      <c r="L862" s="98"/>
      <c r="M862" s="98"/>
      <c r="N862" s="98"/>
      <c r="O862" s="98"/>
      <c r="P862" s="98"/>
      <c r="Q862" s="98"/>
      <c r="R862" s="98"/>
    </row>
    <row r="863" spans="1:18" ht="15" customHeight="1">
      <c r="A863" s="277" t="s">
        <v>671</v>
      </c>
      <c r="B863" s="277"/>
      <c r="C863" s="258" t="s">
        <v>57</v>
      </c>
      <c r="D863" s="272" t="s">
        <v>29</v>
      </c>
      <c r="E863" s="264">
        <v>19</v>
      </c>
      <c r="F863" s="1" t="s">
        <v>242</v>
      </c>
      <c r="G863" s="92" t="str">
        <f>CONCATENATE(D863," - ",E863,", ")</f>
        <v>MS iron scrap - 19, </v>
      </c>
      <c r="H863" s="274"/>
      <c r="I863" s="98" t="str">
        <f ca="1">IF(J862&gt;=3,(MID(I862,2,1)&amp;MID(I862,4,3)-K862),CELL("address",Z863))</f>
        <v>G864</v>
      </c>
      <c r="J863" s="98" t="str">
        <f ca="1">IF(J862&gt;=4,(MID(I863,1,1)&amp;MID(I863,2,3)+1),CELL("address",AA863))</f>
        <v>$AA$863</v>
      </c>
      <c r="K863" s="98" t="str">
        <f ca="1">IF(J862&gt;=5,(MID(J863,1,1)&amp;MID(J863,2,3)+1),CELL("address",AB863))</f>
        <v>$AB$863</v>
      </c>
      <c r="L863" s="98" t="str">
        <f ca="1">IF(J862&gt;=6,(MID(K863,1,1)&amp;MID(K863,2,3)+1),CELL("address",AC863))</f>
        <v>$AC$863</v>
      </c>
      <c r="M863" s="98" t="str">
        <f ca="1">IF(J862&gt;=7,(MID(L863,1,1)&amp;MID(L863,2,3)+1),CELL("address",AD863))</f>
        <v>$AD$863</v>
      </c>
      <c r="N863" s="98" t="str">
        <f ca="1">IF(J862&gt;=8,(MID(M863,1,1)&amp;MID(M863,2,3)+1),CELL("address",AE863))</f>
        <v>$AE$863</v>
      </c>
      <c r="O863" s="98" t="str">
        <f ca="1">IF(J862&gt;=9,(MID(N863,1,1)&amp;MID(N863,2,3)+1),CELL("address",AF863))</f>
        <v>$AF$863</v>
      </c>
      <c r="P863" s="98" t="str">
        <f ca="1">IF(J862&gt;=10,(MID(O863,1,1)&amp;MID(O863,2,3)+1),CELL("address",AG863))</f>
        <v>$AG$863</v>
      </c>
      <c r="Q863" s="98" t="str">
        <f ca="1">IF(J862&gt;=11,(MID(P863,1,1)&amp;MID(P863,2,3)+1),CELL("address",AH863))</f>
        <v>$AH$863</v>
      </c>
      <c r="R863" s="98" t="str">
        <f ca="1">IF(J862&gt;=12,(MID(Q863,1,1)&amp;MID(Q863,2,3)+1),CELL("address",AI863))</f>
        <v>$AI$863</v>
      </c>
    </row>
    <row r="864" spans="1:8" ht="15" customHeight="1">
      <c r="A864" s="39"/>
      <c r="B864" s="41"/>
      <c r="C864" s="48"/>
      <c r="D864" s="38"/>
      <c r="E864" s="196"/>
      <c r="H864" s="1"/>
    </row>
    <row r="865" spans="1:8" ht="15" customHeight="1">
      <c r="A865" s="342" t="s">
        <v>288</v>
      </c>
      <c r="B865" s="343"/>
      <c r="C865" s="343"/>
      <c r="D865" s="343"/>
      <c r="E865" s="343"/>
      <c r="H865" s="1"/>
    </row>
    <row r="866" spans="1:8" ht="15" customHeight="1">
      <c r="A866" s="289" t="s">
        <v>5</v>
      </c>
      <c r="B866" s="290"/>
      <c r="C866" s="289" t="s">
        <v>6</v>
      </c>
      <c r="D866" s="290"/>
      <c r="E866" s="259" t="s">
        <v>7</v>
      </c>
      <c r="H866" s="93"/>
    </row>
    <row r="867" spans="1:8" ht="15" customHeight="1">
      <c r="A867" s="277" t="s">
        <v>124</v>
      </c>
      <c r="B867" s="277"/>
      <c r="C867" s="344" t="s">
        <v>112</v>
      </c>
      <c r="D867" s="344"/>
      <c r="E867" s="209">
        <v>1.293</v>
      </c>
      <c r="H867" s="93" t="str">
        <f aca="true" t="shared" si="5" ref="H867:H883">CONCATENATE("Wooden scrap (without iron parts), Lying at ",C867,". Quantity in MT - ",E867,)</f>
        <v>Wooden scrap (without iron parts), Lying at OL Fazilka. Quantity in MT - 1.293</v>
      </c>
    </row>
    <row r="868" spans="1:8" ht="15" customHeight="1">
      <c r="A868" s="277" t="s">
        <v>127</v>
      </c>
      <c r="B868" s="277"/>
      <c r="C868" s="277" t="s">
        <v>95</v>
      </c>
      <c r="D868" s="277"/>
      <c r="E868" s="209">
        <v>0.421</v>
      </c>
      <c r="H868" s="93" t="str">
        <f t="shared" si="5"/>
        <v>Wooden scrap (without iron parts), Lying at CS Malout. Quantity in MT - 0.421</v>
      </c>
    </row>
    <row r="869" spans="1:8" ht="15" customHeight="1">
      <c r="A869" s="277" t="s">
        <v>128</v>
      </c>
      <c r="B869" s="277"/>
      <c r="C869" s="344" t="s">
        <v>102</v>
      </c>
      <c r="D869" s="344"/>
      <c r="E869" s="69">
        <v>0.597</v>
      </c>
      <c r="H869" s="93" t="str">
        <f t="shared" si="5"/>
        <v>Wooden scrap (without iron parts), Lying at OL Patran. Quantity in MT - 0.597</v>
      </c>
    </row>
    <row r="870" spans="1:8" ht="15" customHeight="1">
      <c r="A870" s="277" t="s">
        <v>129</v>
      </c>
      <c r="B870" s="277"/>
      <c r="C870" s="277" t="s">
        <v>43</v>
      </c>
      <c r="D870" s="277"/>
      <c r="E870" s="69">
        <v>4.968</v>
      </c>
      <c r="H870" s="93" t="str">
        <f t="shared" si="5"/>
        <v>Wooden scrap (without iron parts), Lying at CS Kotkapura. Quantity in MT - 4.968</v>
      </c>
    </row>
    <row r="871" spans="1:8" ht="15" customHeight="1">
      <c r="A871" s="277" t="s">
        <v>130</v>
      </c>
      <c r="B871" s="277"/>
      <c r="C871" s="277" t="s">
        <v>79</v>
      </c>
      <c r="D871" s="277"/>
      <c r="E871" s="69">
        <v>1.796</v>
      </c>
      <c r="H871" s="93" t="str">
        <f t="shared" si="5"/>
        <v>Wooden scrap (without iron parts), Lying at CS Sangrur. Quantity in MT - 1.796</v>
      </c>
    </row>
    <row r="872" spans="1:8" ht="15" customHeight="1">
      <c r="A872" s="277" t="s">
        <v>131</v>
      </c>
      <c r="B872" s="277"/>
      <c r="C872" s="344" t="s">
        <v>126</v>
      </c>
      <c r="D872" s="344"/>
      <c r="E872" s="69">
        <v>1.275</v>
      </c>
      <c r="H872" s="93" t="str">
        <f t="shared" si="5"/>
        <v>Wooden scrap (without iron parts), Lying at OL Malerkotla. Quantity in MT - 1.275</v>
      </c>
    </row>
    <row r="873" spans="1:8" ht="15" customHeight="1">
      <c r="A873" s="277" t="s">
        <v>137</v>
      </c>
      <c r="B873" s="277"/>
      <c r="C873" s="344" t="s">
        <v>100</v>
      </c>
      <c r="D873" s="344"/>
      <c r="E873" s="69">
        <v>0.338</v>
      </c>
      <c r="H873" s="93" t="str">
        <f t="shared" si="5"/>
        <v>Wooden scrap (without iron parts), Lying at OL Bhagta Bhai Ka. Quantity in MT - 0.338</v>
      </c>
    </row>
    <row r="874" spans="1:8" ht="15" customHeight="1">
      <c r="A874" s="277" t="s">
        <v>138</v>
      </c>
      <c r="B874" s="277"/>
      <c r="C874" s="344" t="s">
        <v>59</v>
      </c>
      <c r="D874" s="344"/>
      <c r="E874" s="69">
        <v>0.4</v>
      </c>
      <c r="H874" s="93" t="str">
        <f t="shared" si="5"/>
        <v>Wooden scrap (without iron parts), Lying at OL Mansa. Quantity in MT - 0.4</v>
      </c>
    </row>
    <row r="875" spans="1:8" ht="15" customHeight="1">
      <c r="A875" s="277" t="s">
        <v>139</v>
      </c>
      <c r="B875" s="277"/>
      <c r="C875" s="277" t="s">
        <v>99</v>
      </c>
      <c r="D875" s="277"/>
      <c r="E875" s="69">
        <v>4.39</v>
      </c>
      <c r="H875" s="93" t="str">
        <f t="shared" si="5"/>
        <v>Wooden scrap (without iron parts), Lying at CS Ferozepur. Quantity in MT - 4.39</v>
      </c>
    </row>
    <row r="876" spans="1:8" ht="15" customHeight="1">
      <c r="A876" s="277" t="s">
        <v>140</v>
      </c>
      <c r="B876" s="277"/>
      <c r="C876" s="291" t="s">
        <v>98</v>
      </c>
      <c r="D876" s="351"/>
      <c r="E876" s="264">
        <v>1.464</v>
      </c>
      <c r="F876" s="1">
        <v>0.303</v>
      </c>
      <c r="H876" s="93" t="str">
        <f t="shared" si="5"/>
        <v>Wooden scrap (without iron parts), Lying at OL Ropar. Quantity in MT - 1.464</v>
      </c>
    </row>
    <row r="877" spans="1:8" ht="15" customHeight="1">
      <c r="A877" s="277" t="s">
        <v>144</v>
      </c>
      <c r="B877" s="277"/>
      <c r="C877" s="344" t="s">
        <v>270</v>
      </c>
      <c r="D877" s="357"/>
      <c r="E877" s="69">
        <v>0.376</v>
      </c>
      <c r="H877" s="93" t="str">
        <f t="shared" si="5"/>
        <v>Wooden scrap (without iron parts), Lying at OL Moga. Quantity in MT - 0.376</v>
      </c>
    </row>
    <row r="878" spans="1:8" ht="15" customHeight="1">
      <c r="A878" s="277" t="s">
        <v>467</v>
      </c>
      <c r="B878" s="277"/>
      <c r="C878" s="352" t="s">
        <v>468</v>
      </c>
      <c r="D878" s="352"/>
      <c r="E878" s="69">
        <v>0.5</v>
      </c>
      <c r="H878" s="93" t="str">
        <f t="shared" si="5"/>
        <v>Wooden scrap (without iron parts), Lying at OL Shri Mukatsar Sahib. Quantity in MT - 0.5</v>
      </c>
    </row>
    <row r="879" spans="1:8" ht="15" customHeight="1">
      <c r="A879" s="277" t="s">
        <v>492</v>
      </c>
      <c r="B879" s="277"/>
      <c r="C879" s="344" t="s">
        <v>190</v>
      </c>
      <c r="D879" s="344"/>
      <c r="E879" s="46">
        <v>0.625</v>
      </c>
      <c r="H879" s="93" t="str">
        <f t="shared" si="5"/>
        <v>Wooden scrap (without iron parts), Lying at OL Barnala. Quantity in MT - 0.625</v>
      </c>
    </row>
    <row r="880" spans="1:8" ht="15" customHeight="1">
      <c r="A880" s="277" t="s">
        <v>538</v>
      </c>
      <c r="B880" s="277"/>
      <c r="C880" s="352" t="s">
        <v>63</v>
      </c>
      <c r="D880" s="352"/>
      <c r="E880" s="46">
        <v>0.199</v>
      </c>
      <c r="H880" s="93" t="str">
        <f t="shared" si="5"/>
        <v>Wooden scrap (without iron parts), Lying at CS Bathinda. Quantity in MT - 0.199</v>
      </c>
    </row>
    <row r="881" spans="1:8" ht="15" customHeight="1">
      <c r="A881" s="277" t="s">
        <v>571</v>
      </c>
      <c r="B881" s="277"/>
      <c r="C881" s="291" t="s">
        <v>62</v>
      </c>
      <c r="D881" s="291"/>
      <c r="E881" s="263">
        <v>1.785</v>
      </c>
      <c r="F881" s="1" t="s">
        <v>320</v>
      </c>
      <c r="H881" s="93" t="str">
        <f t="shared" si="5"/>
        <v>Wooden scrap (without iron parts), Lying at CS Mohali. Quantity in MT - 1.785</v>
      </c>
    </row>
    <row r="882" spans="1:8" ht="15" customHeight="1">
      <c r="A882" s="277" t="s">
        <v>581</v>
      </c>
      <c r="B882" s="277"/>
      <c r="C882" s="291" t="s">
        <v>52</v>
      </c>
      <c r="D882" s="291"/>
      <c r="E882" s="263">
        <v>3.201</v>
      </c>
      <c r="F882" s="1" t="s">
        <v>320</v>
      </c>
      <c r="H882" s="93" t="str">
        <f t="shared" si="5"/>
        <v>Wooden scrap (without iron parts), Lying at CS Patiala. Quantity in MT - 3.201</v>
      </c>
    </row>
    <row r="883" spans="1:8" ht="15" customHeight="1" thickBot="1">
      <c r="A883" s="277" t="s">
        <v>583</v>
      </c>
      <c r="B883" s="277"/>
      <c r="C883" s="291" t="s">
        <v>582</v>
      </c>
      <c r="D883" s="291"/>
      <c r="E883" s="263">
        <v>1.305</v>
      </c>
      <c r="F883" s="1" t="s">
        <v>320</v>
      </c>
      <c r="H883" s="93" t="str">
        <f t="shared" si="5"/>
        <v>Wooden scrap (without iron parts), Lying at OLNabha. Quantity in MT - 1.305</v>
      </c>
    </row>
    <row r="884" spans="1:8" ht="15" customHeight="1" thickBot="1">
      <c r="A884" s="355" t="s">
        <v>14</v>
      </c>
      <c r="B884" s="356"/>
      <c r="C884" s="268"/>
      <c r="D884" s="268"/>
      <c r="E884" s="177">
        <f>SUM(E867:E883)</f>
        <v>24.933</v>
      </c>
      <c r="H884" s="1"/>
    </row>
    <row r="885" spans="1:8" ht="15" customHeight="1">
      <c r="A885" s="19"/>
      <c r="B885" s="19"/>
      <c r="C885" s="15"/>
      <c r="D885" s="15"/>
      <c r="E885" s="178"/>
      <c r="H885" s="1"/>
    </row>
    <row r="886" spans="1:8" ht="15" customHeight="1">
      <c r="A886" s="306" t="s">
        <v>11</v>
      </c>
      <c r="B886" s="307"/>
      <c r="C886" s="307"/>
      <c r="D886" s="307"/>
      <c r="E886" s="307"/>
      <c r="H886" s="1"/>
    </row>
    <row r="887" spans="1:8" ht="15" customHeight="1">
      <c r="A887" s="16"/>
      <c r="B887" s="17"/>
      <c r="C887" s="17"/>
      <c r="D887" s="17"/>
      <c r="E887" s="17"/>
      <c r="H887" s="1"/>
    </row>
    <row r="888" spans="1:8" ht="15" customHeight="1">
      <c r="A888" s="349" t="s">
        <v>8</v>
      </c>
      <c r="B888" s="350"/>
      <c r="C888" s="350"/>
      <c r="D888" s="350"/>
      <c r="E888" s="350"/>
      <c r="H888" s="1"/>
    </row>
    <row r="889" spans="1:8" ht="15" customHeight="1">
      <c r="A889" s="40" t="s">
        <v>5</v>
      </c>
      <c r="B889" s="284" t="s">
        <v>17</v>
      </c>
      <c r="C889" s="284"/>
      <c r="D889" s="258" t="s">
        <v>18</v>
      </c>
      <c r="E889" s="39" t="s">
        <v>76</v>
      </c>
      <c r="H889" s="1"/>
    </row>
    <row r="890" spans="1:8" ht="15" customHeight="1">
      <c r="A890" s="40" t="s">
        <v>78</v>
      </c>
      <c r="B890" s="339" t="s">
        <v>108</v>
      </c>
      <c r="C890" s="339"/>
      <c r="D890" s="40" t="s">
        <v>77</v>
      </c>
      <c r="E890" s="173">
        <v>37</v>
      </c>
      <c r="H890" s="93" t="str">
        <f>CONCATENATE("CT/PT Units, Lying at ",B890,". Quantity in No - ",E890,)</f>
        <v>CT/PT Units, Lying at Central Store Kotkapura. Quantity in No - 37</v>
      </c>
    </row>
    <row r="891" spans="1:8" ht="15" customHeight="1">
      <c r="A891" s="39"/>
      <c r="B891" s="78"/>
      <c r="C891" s="78"/>
      <c r="D891" s="41"/>
      <c r="E891" s="174"/>
      <c r="H891" s="93"/>
    </row>
    <row r="892" spans="1:8" ht="15" customHeight="1">
      <c r="A892" s="40" t="s">
        <v>5</v>
      </c>
      <c r="B892" s="284" t="s">
        <v>17</v>
      </c>
      <c r="C892" s="284"/>
      <c r="D892" s="258" t="s">
        <v>18</v>
      </c>
      <c r="E892" s="39" t="s">
        <v>76</v>
      </c>
      <c r="H892" s="1"/>
    </row>
    <row r="893" spans="1:8" ht="15" customHeight="1">
      <c r="A893" s="40" t="s">
        <v>121</v>
      </c>
      <c r="B893" s="339" t="s">
        <v>159</v>
      </c>
      <c r="C893" s="339"/>
      <c r="D893" s="267" t="s">
        <v>77</v>
      </c>
      <c r="E893" s="179">
        <v>33</v>
      </c>
      <c r="F893" s="1">
        <v>21</v>
      </c>
      <c r="H893" s="93" t="str">
        <f>CONCATENATE("CT/PT Units, Lying at ",B893,". Quantity in No - ",E893,)</f>
        <v>CT/PT Units, Lying at Central Store Patiala. Quantity in No - 33</v>
      </c>
    </row>
    <row r="894" spans="1:8" ht="15" customHeight="1">
      <c r="A894" s="39"/>
      <c r="B894" s="84"/>
      <c r="C894" s="84"/>
      <c r="D894" s="41"/>
      <c r="E894" s="174"/>
      <c r="H894" s="1"/>
    </row>
    <row r="895" spans="1:8" ht="15" customHeight="1">
      <c r="A895" s="40" t="s">
        <v>5</v>
      </c>
      <c r="B895" s="284" t="s">
        <v>17</v>
      </c>
      <c r="C895" s="284"/>
      <c r="D895" s="258" t="s">
        <v>18</v>
      </c>
      <c r="E895" s="39" t="s">
        <v>76</v>
      </c>
      <c r="H895" s="1"/>
    </row>
    <row r="896" spans="1:8" ht="15" customHeight="1">
      <c r="A896" s="40" t="s">
        <v>197</v>
      </c>
      <c r="B896" s="339" t="s">
        <v>185</v>
      </c>
      <c r="C896" s="339"/>
      <c r="D896" s="267" t="s">
        <v>77</v>
      </c>
      <c r="E896" s="179">
        <v>56</v>
      </c>
      <c r="F896" s="1">
        <v>39</v>
      </c>
      <c r="H896" s="93" t="str">
        <f>CONCATENATE("CT/PT Units, Lying at ",B896,". Quantity in No - ",E896,)</f>
        <v>CT/PT Units, Lying at Outlet store Ropar. Quantity in No - 56</v>
      </c>
    </row>
    <row r="897" spans="1:8" ht="15" customHeight="1">
      <c r="A897" s="39"/>
      <c r="B897" s="84"/>
      <c r="C897" s="84"/>
      <c r="D897" s="271"/>
      <c r="E897" s="180"/>
      <c r="H897" s="1"/>
    </row>
    <row r="898" spans="1:8" ht="15" customHeight="1">
      <c r="A898" s="40" t="s">
        <v>5</v>
      </c>
      <c r="B898" s="284" t="s">
        <v>17</v>
      </c>
      <c r="C898" s="284"/>
      <c r="D898" s="258" t="s">
        <v>18</v>
      </c>
      <c r="E898" s="39" t="s">
        <v>76</v>
      </c>
      <c r="H898" s="1"/>
    </row>
    <row r="899" spans="1:8" ht="15" customHeight="1">
      <c r="A899" s="40" t="s">
        <v>206</v>
      </c>
      <c r="B899" s="339" t="s">
        <v>209</v>
      </c>
      <c r="C899" s="339"/>
      <c r="D899" s="40" t="s">
        <v>77</v>
      </c>
      <c r="E899" s="173">
        <v>42</v>
      </c>
      <c r="H899" s="93" t="str">
        <f>CONCATENATE("CT/PT Units, Lying at ",B899,". Quantity in No - ",E899,)</f>
        <v>CT/PT Units, Lying at Central Store Sangrur. Quantity in No - 42</v>
      </c>
    </row>
    <row r="900" spans="1:8" ht="15" customHeight="1">
      <c r="A900" s="39"/>
      <c r="B900" s="84"/>
      <c r="C900" s="84"/>
      <c r="D900" s="41"/>
      <c r="E900" s="174"/>
      <c r="H900" s="1"/>
    </row>
    <row r="901" spans="1:8" ht="15" customHeight="1">
      <c r="A901" s="40" t="s">
        <v>5</v>
      </c>
      <c r="B901" s="284" t="s">
        <v>17</v>
      </c>
      <c r="C901" s="284"/>
      <c r="D901" s="258" t="s">
        <v>18</v>
      </c>
      <c r="E901" s="39" t="s">
        <v>76</v>
      </c>
      <c r="H901" s="1"/>
    </row>
    <row r="902" spans="1:8" ht="15" customHeight="1">
      <c r="A902" s="40" t="s">
        <v>279</v>
      </c>
      <c r="B902" s="339" t="s">
        <v>293</v>
      </c>
      <c r="C902" s="339"/>
      <c r="D902" s="40" t="s">
        <v>77</v>
      </c>
      <c r="E902" s="173">
        <v>41</v>
      </c>
      <c r="H902" s="93" t="str">
        <f>CONCATENATE("CT/PT Units, Lying at ",B902,". Quantity in No - ",E902,)</f>
        <v>CT/PT Units, Lying at Central Store Bathinda. Quantity in No - 41</v>
      </c>
    </row>
    <row r="903" spans="1:8" ht="15" customHeight="1">
      <c r="A903" s="39"/>
      <c r="B903" s="84"/>
      <c r="C903" s="84"/>
      <c r="D903" s="41"/>
      <c r="E903" s="174"/>
      <c r="H903" s="1"/>
    </row>
    <row r="904" spans="1:8" ht="15" customHeight="1">
      <c r="A904" s="40" t="s">
        <v>5</v>
      </c>
      <c r="B904" s="284" t="s">
        <v>17</v>
      </c>
      <c r="C904" s="284"/>
      <c r="D904" s="258" t="s">
        <v>18</v>
      </c>
      <c r="E904" s="39" t="s">
        <v>76</v>
      </c>
      <c r="H904" s="1"/>
    </row>
    <row r="905" spans="1:8" ht="15" customHeight="1">
      <c r="A905" s="40" t="s">
        <v>294</v>
      </c>
      <c r="B905" s="339" t="s">
        <v>159</v>
      </c>
      <c r="C905" s="339"/>
      <c r="D905" s="40" t="s">
        <v>394</v>
      </c>
      <c r="E905" s="173">
        <v>43</v>
      </c>
      <c r="H905" s="93" t="str">
        <f>CONCATENATE("U/S CT, Lying at ",B905,". Quantity in No - ",E905,)</f>
        <v>U/S CT, Lying at Central Store Patiala. Quantity in No - 43</v>
      </c>
    </row>
    <row r="906" spans="1:8" ht="15" customHeight="1">
      <c r="A906" s="39"/>
      <c r="B906" s="84"/>
      <c r="C906" s="84"/>
      <c r="D906" s="41"/>
      <c r="E906" s="174"/>
      <c r="H906" s="1"/>
    </row>
    <row r="907" spans="1:8" ht="15" customHeight="1">
      <c r="A907" s="40" t="s">
        <v>5</v>
      </c>
      <c r="B907" s="284" t="s">
        <v>17</v>
      </c>
      <c r="C907" s="284"/>
      <c r="D907" s="258" t="s">
        <v>18</v>
      </c>
      <c r="E907" s="39" t="s">
        <v>76</v>
      </c>
      <c r="H907" s="1"/>
    </row>
    <row r="908" spans="1:8" ht="15" customHeight="1">
      <c r="A908" s="40" t="s">
        <v>326</v>
      </c>
      <c r="B908" s="339" t="s">
        <v>108</v>
      </c>
      <c r="C908" s="339"/>
      <c r="D908" s="40" t="s">
        <v>280</v>
      </c>
      <c r="E908" s="173">
        <v>168</v>
      </c>
      <c r="H908" s="93" t="str">
        <f>CONCATENATE("Empty steel drums (cap 209 ltrs), Lying at ",B908,". Quantity in No - ",E908,)</f>
        <v>Empty steel drums (cap 209 ltrs), Lying at Central Store Kotkapura. Quantity in No - 168</v>
      </c>
    </row>
    <row r="909" spans="1:8" ht="15" customHeight="1">
      <c r="A909" s="39"/>
      <c r="B909" s="84"/>
      <c r="C909" s="84"/>
      <c r="D909" s="41"/>
      <c r="E909" s="174"/>
      <c r="H909" s="1"/>
    </row>
    <row r="910" spans="1:8" ht="15" customHeight="1">
      <c r="A910" s="40" t="s">
        <v>5</v>
      </c>
      <c r="B910" s="284" t="s">
        <v>17</v>
      </c>
      <c r="C910" s="284"/>
      <c r="D910" s="258" t="s">
        <v>18</v>
      </c>
      <c r="E910" s="39" t="s">
        <v>76</v>
      </c>
      <c r="H910" s="1"/>
    </row>
    <row r="911" spans="1:8" ht="15" customHeight="1">
      <c r="A911" s="40" t="s">
        <v>338</v>
      </c>
      <c r="B911" s="339" t="s">
        <v>325</v>
      </c>
      <c r="C911" s="339"/>
      <c r="D911" s="40" t="s">
        <v>280</v>
      </c>
      <c r="E911" s="173">
        <v>53</v>
      </c>
      <c r="H911" s="93" t="str">
        <f>CONCATENATE("Empty steel drums (cap 209 ltrs), Lying at ",B911,". Quantity in No - ",E911,)</f>
        <v>Empty steel drums (cap 209 ltrs), Lying at Central Store Malout. Quantity in No - 53</v>
      </c>
    </row>
    <row r="912" spans="1:8" ht="15" customHeight="1">
      <c r="A912" s="39"/>
      <c r="B912" s="84"/>
      <c r="C912" s="84"/>
      <c r="D912" s="271"/>
      <c r="E912" s="180"/>
      <c r="H912" s="1"/>
    </row>
    <row r="913" spans="1:8" ht="15" customHeight="1">
      <c r="A913" s="40" t="s">
        <v>5</v>
      </c>
      <c r="B913" s="284" t="s">
        <v>17</v>
      </c>
      <c r="C913" s="284"/>
      <c r="D913" s="258" t="s">
        <v>18</v>
      </c>
      <c r="E913" s="39" t="s">
        <v>76</v>
      </c>
      <c r="H913" s="1"/>
    </row>
    <row r="914" spans="1:8" ht="15" customHeight="1">
      <c r="A914" s="40" t="s">
        <v>395</v>
      </c>
      <c r="B914" s="339" t="s">
        <v>185</v>
      </c>
      <c r="C914" s="339"/>
      <c r="D914" s="40" t="s">
        <v>280</v>
      </c>
      <c r="E914" s="173">
        <v>13</v>
      </c>
      <c r="H914" s="93" t="str">
        <f>CONCATENATE("Empty steel drums (cap 209 ltrs), Lying at ",B914,". Quantity in No - ",E914,)</f>
        <v>Empty steel drums (cap 209 ltrs), Lying at Outlet store Ropar. Quantity in No - 13</v>
      </c>
    </row>
    <row r="915" spans="1:8" ht="12.75" customHeight="1">
      <c r="A915" s="39"/>
      <c r="B915" s="84"/>
      <c r="C915" s="84"/>
      <c r="D915" s="271"/>
      <c r="E915" s="180"/>
      <c r="F915" s="94"/>
      <c r="G915" s="94"/>
      <c r="H915" s="95"/>
    </row>
    <row r="916" spans="1:8" ht="12.75" customHeight="1">
      <c r="A916" s="310" t="s">
        <v>16</v>
      </c>
      <c r="B916" s="311"/>
      <c r="C916" s="311"/>
      <c r="D916" s="311"/>
      <c r="E916" s="311"/>
      <c r="H916" s="1"/>
    </row>
    <row r="917" spans="1:8" ht="12.75" customHeight="1">
      <c r="A917" s="20"/>
      <c r="B917" s="21"/>
      <c r="C917" s="21"/>
      <c r="D917" s="21"/>
      <c r="E917" s="21"/>
      <c r="H917" s="1"/>
    </row>
    <row r="918" spans="1:8" ht="25.5" customHeight="1">
      <c r="A918" s="340" t="s">
        <v>15</v>
      </c>
      <c r="B918" s="341"/>
      <c r="C918" s="341"/>
      <c r="D918" s="341"/>
      <c r="E918" s="341"/>
      <c r="H918" s="1"/>
    </row>
    <row r="919" spans="1:8" ht="15" customHeight="1">
      <c r="A919" s="265"/>
      <c r="B919" s="266"/>
      <c r="C919" s="266"/>
      <c r="D919" s="266"/>
      <c r="E919" s="266"/>
      <c r="H919" s="1"/>
    </row>
    <row r="920" spans="1:8" ht="15" customHeight="1">
      <c r="A920" s="308" t="s">
        <v>49</v>
      </c>
      <c r="B920" s="309"/>
      <c r="C920" s="309"/>
      <c r="D920" s="309"/>
      <c r="E920" s="309"/>
      <c r="H920" s="1"/>
    </row>
    <row r="921" spans="1:8" ht="24" customHeight="1">
      <c r="A921" s="14" t="s">
        <v>5</v>
      </c>
      <c r="B921" s="14" t="s">
        <v>1</v>
      </c>
      <c r="C921" s="14" t="s">
        <v>2</v>
      </c>
      <c r="D921" s="14" t="s">
        <v>3</v>
      </c>
      <c r="E921" s="181" t="s">
        <v>4</v>
      </c>
      <c r="H921" s="1"/>
    </row>
    <row r="922" spans="1:8" ht="24.75" customHeight="1">
      <c r="A922" s="11" t="s">
        <v>109</v>
      </c>
      <c r="B922" s="11" t="s">
        <v>88</v>
      </c>
      <c r="C922" s="11" t="s">
        <v>105</v>
      </c>
      <c r="D922" s="11" t="s">
        <v>89</v>
      </c>
      <c r="E922" s="24" t="s">
        <v>255</v>
      </c>
      <c r="H922" s="101" t="str">
        <f>CONCATENATE("Condemned/obsolete Vehicles  (Without RC )--- ",B922," ",C922," ",E922," ",)</f>
        <v>Condemned/obsolete Vehicles  (Without RC )--- PB-11 AH-0925 HONDA CIVIC CAR (PETROL) 2008 …. CE/ TA &amp; I PSPCL PATIALA 96461-19587 </v>
      </c>
    </row>
    <row r="923" spans="1:8" ht="24.75" customHeight="1">
      <c r="A923" s="11" t="s">
        <v>151</v>
      </c>
      <c r="B923" s="23" t="s">
        <v>148</v>
      </c>
      <c r="C923" s="23" t="s">
        <v>149</v>
      </c>
      <c r="D923" s="23" t="s">
        <v>150</v>
      </c>
      <c r="E923" s="87" t="s">
        <v>256</v>
      </c>
      <c r="H923" s="101" t="str">
        <f>CONCATENATE("Condemned/obsolete Vehicles  (Without RC )--- ",B923," ",C923," ",E923," ",)</f>
        <v>Condemned/obsolete Vehicles  (Without RC )--- PB-05 F-9520 MINI TRUCK EICHER DIESEL (1999) ….. DS S/D MAMDOT PSPCL FEROZEPUR MOB 9646114589 </v>
      </c>
    </row>
    <row r="924" spans="1:8" ht="24.75" customHeight="1">
      <c r="A924" s="11" t="s">
        <v>154</v>
      </c>
      <c r="B924" s="23" t="s">
        <v>155</v>
      </c>
      <c r="C924" s="23" t="s">
        <v>156</v>
      </c>
      <c r="D924" s="23" t="s">
        <v>157</v>
      </c>
      <c r="E924" s="87" t="s">
        <v>257</v>
      </c>
      <c r="H924" s="101" t="str">
        <f>CONCATENATE("Condemned/obsolete Vehicles  (Without RC )--- ",B924," ",C924," ",E924," ",)</f>
        <v>Condemned/obsolete Vehicles  (Without RC )--- PB-03 N-5547 AMBASSADOR CAR DIESEL (2005) ….. DS DIVISION BADAL 96461-14534 </v>
      </c>
    </row>
    <row r="925" spans="1:15" ht="15" customHeight="1">
      <c r="A925" s="18"/>
      <c r="B925" s="22"/>
      <c r="C925" s="22"/>
      <c r="D925" s="18"/>
      <c r="E925" s="182"/>
      <c r="F925" s="98"/>
      <c r="G925" s="98"/>
      <c r="H925" s="98"/>
      <c r="I925" s="98"/>
      <c r="J925" s="98"/>
      <c r="K925" s="98"/>
      <c r="L925" s="98"/>
      <c r="M925" s="98"/>
      <c r="N925" s="98"/>
      <c r="O925" s="98"/>
    </row>
    <row r="926" spans="1:15" ht="15" customHeight="1">
      <c r="A926" s="347" t="s">
        <v>50</v>
      </c>
      <c r="B926" s="348"/>
      <c r="C926" s="348"/>
      <c r="D926" s="348"/>
      <c r="E926" s="348"/>
      <c r="F926" s="98"/>
      <c r="G926" s="98"/>
      <c r="H926" s="98"/>
      <c r="I926" s="98" t="str">
        <f ca="1">IF(G925&gt;=6,(MID(H926,1,1)&amp;MID(H926,2,4)+1),CELL("address",Z926))</f>
        <v>$Z$926</v>
      </c>
      <c r="J926" s="98" t="str">
        <f ca="1">IF(G925&gt;=7,(MID(I926,1,1)&amp;MID(I926,2,4)+1),CELL("address",AA926))</f>
        <v>$AA$926</v>
      </c>
      <c r="K926" s="98" t="str">
        <f ca="1">IF(G925&gt;=8,(MID(J926,1,1)&amp;MID(J926,2,4)+1),CELL("address",AB926))</f>
        <v>$AB$926</v>
      </c>
      <c r="L926" s="98" t="str">
        <f ca="1">IF(G925&gt;=9,(MID(K926,1,1)&amp;MID(K926,2,4)+1),CELL("address",AC926))</f>
        <v>$AC$926</v>
      </c>
      <c r="M926" s="98" t="str">
        <f ca="1">IF(G925&gt;=10,(MID(L926,1,1)&amp;MID(L926,2,4)+1),CELL("address",AD926))</f>
        <v>$AD$926</v>
      </c>
      <c r="N926" s="98" t="str">
        <f ca="1">IF(G925&gt;=11,(MID(M926,1,1)&amp;MID(M926,2,4)+1),CELL("address",AE926))</f>
        <v>$AE$926</v>
      </c>
      <c r="O926" s="98" t="str">
        <f ca="1">IF(G925&gt;=12,(MID(N926,1,1)&amp;MID(N926,2,4)+1),CELL("address",AF926))</f>
        <v>$AF$926</v>
      </c>
    </row>
    <row r="927" spans="1:8" ht="15" customHeight="1">
      <c r="A927" s="345" t="s">
        <v>106</v>
      </c>
      <c r="B927" s="346"/>
      <c r="C927" s="346"/>
      <c r="D927" s="346"/>
      <c r="E927" s="346"/>
      <c r="H927" s="1"/>
    </row>
    <row r="928" spans="1:8" ht="15" customHeight="1">
      <c r="A928" s="6"/>
      <c r="B928" s="7"/>
      <c r="C928" s="7"/>
      <c r="D928" s="7"/>
      <c r="E928" s="7"/>
      <c r="H928" s="1"/>
    </row>
    <row r="929" spans="1:20" ht="15" customHeight="1">
      <c r="A929" s="310" t="s">
        <v>25</v>
      </c>
      <c r="B929" s="311"/>
      <c r="C929" s="311"/>
      <c r="D929" s="311"/>
      <c r="E929" s="311"/>
      <c r="H929" s="1"/>
      <c r="Q929" s="282"/>
      <c r="R929" s="282"/>
      <c r="S929" s="282"/>
      <c r="T929" s="282"/>
    </row>
    <row r="930" spans="1:8" ht="15" customHeight="1">
      <c r="A930" s="61"/>
      <c r="B930" s="61"/>
      <c r="C930" s="62"/>
      <c r="D930" s="62"/>
      <c r="E930" s="63">
        <f>SUM(E932:E935)</f>
        <v>4.129</v>
      </c>
      <c r="H930" s="1"/>
    </row>
    <row r="931" spans="1:18" ht="17.25" customHeight="1">
      <c r="A931" s="275" t="s">
        <v>5</v>
      </c>
      <c r="B931" s="276"/>
      <c r="C931" s="64" t="s">
        <v>17</v>
      </c>
      <c r="D931" s="65" t="s">
        <v>18</v>
      </c>
      <c r="E931" s="68" t="s">
        <v>7</v>
      </c>
      <c r="G931" s="184" t="str">
        <f>CONCATENATE("Misc. Healthy parts/ Non Ferrous  Scrap, Lying at ",C932,". Quantity in MT - ")</f>
        <v>Misc. Healthy parts/ Non Ferrous  Scrap, Lying at TRY Bathinda. Quantity in MT - </v>
      </c>
      <c r="H931" s="274" t="str">
        <f ca="1">CONCATENATE(G931,G932,(INDIRECT(I932)),(INDIRECT(J932)),(INDIRECT(K932)),(INDIRECT(L932)),(INDIRECT(M932)),(INDIRECT(N932)),(INDIRECT(O932)),(INDIRECT(P932)),(INDIRECT(Q932)),(INDIRECT(R932)),".")</f>
        <v>Misc. Healthy parts/ Non Ferrous  Scrap, Lying at TRY Bathinda. Quantity in MT - Brass scrap - 2.683, Misc. Aluminium scrap - 0.893, Burnt Cu scrap - 0.203, Nuts &amp; Bolts scrap - 0.35, .</v>
      </c>
      <c r="I931" s="98" t="str">
        <f aca="true" ca="1" t="array" ref="I931">CELL("address",INDEX(G931:G953,MATCH(TRUE,ISBLANK(G931:G953),0)))</f>
        <v>$G$936</v>
      </c>
      <c r="J931" s="98">
        <f aca="true" t="array" ref="J931">MATCH(TRUE,ISBLANK(G931:G953),0)</f>
        <v>6</v>
      </c>
      <c r="K931" s="98">
        <f>J931-3</f>
        <v>3</v>
      </c>
      <c r="L931" s="98"/>
      <c r="M931" s="98"/>
      <c r="N931" s="98"/>
      <c r="O931" s="98"/>
      <c r="P931" s="98"/>
      <c r="Q931" s="98"/>
      <c r="R931" s="98"/>
    </row>
    <row r="932" spans="1:18" ht="17.25" customHeight="1">
      <c r="A932" s="277" t="s">
        <v>34</v>
      </c>
      <c r="B932" s="277"/>
      <c r="C932" s="284" t="s">
        <v>36</v>
      </c>
      <c r="D932" s="40" t="s">
        <v>23</v>
      </c>
      <c r="E932" s="69">
        <v>2.683</v>
      </c>
      <c r="F932" s="98"/>
      <c r="G932" s="102" t="str">
        <f>CONCATENATE(D932," - ",E932,", ")</f>
        <v>Brass scrap - 2.683, </v>
      </c>
      <c r="H932" s="274"/>
      <c r="I932" s="98" t="str">
        <f ca="1">IF(J931&gt;=3,(MID(I931,2,1)&amp;MID(I931,4,4)-K931),CELL("address",Z932))</f>
        <v>G933</v>
      </c>
      <c r="J932" s="98" t="str">
        <f ca="1">IF(J931&gt;=4,(MID(I932,1,1)&amp;MID(I932,2,4)+1),CELL("address",AA932))</f>
        <v>G934</v>
      </c>
      <c r="K932" s="98" t="str">
        <f ca="1">IF(J931&gt;=5,(MID(J932,1,1)&amp;MID(J932,2,4)+1),CELL("address",AB932))</f>
        <v>G935</v>
      </c>
      <c r="L932" s="98" t="str">
        <f ca="1">IF(J931&gt;=6,(MID(K932,1,1)&amp;MID(K932,2,4)+1),CELL("address",AC932))</f>
        <v>G936</v>
      </c>
      <c r="M932" s="98" t="str">
        <f ca="1">IF(J931&gt;=7,(MID(L932,1,1)&amp;MID(L932,2,4)+1),CELL("address",AD932))</f>
        <v>$AD$932</v>
      </c>
      <c r="N932" s="98" t="str">
        <f ca="1">IF(J931&gt;=8,(MID(M932,1,1)&amp;MID(M932,2,4)+1),CELL("address",AE932))</f>
        <v>$AE$932</v>
      </c>
      <c r="O932" s="98" t="str">
        <f ca="1">IF(J931&gt;=9,(MID(N932,1,1)&amp;MID(N932,2,4)+1),CELL("address",AF932))</f>
        <v>$AF$932</v>
      </c>
      <c r="P932" s="98" t="str">
        <f ca="1">IF(J931&gt;=10,(MID(O932,1,1)&amp;MID(O932,2,4)+1),CELL("address",AG932))</f>
        <v>$AG$932</v>
      </c>
      <c r="Q932" s="98" t="str">
        <f ca="1">IF(J931&gt;=11,(MID(P932,1,1)&amp;MID(P932,2,4)+1),CELL("address",AH932))</f>
        <v>$AH$932</v>
      </c>
      <c r="R932" s="98" t="str">
        <f ca="1">IF(J931&gt;=12,(MID(Q932,1,1)&amp;MID(Q932,2,4)+1),CELL("address",AI932))</f>
        <v>$AI$932</v>
      </c>
    </row>
    <row r="933" spans="1:15" ht="17.25" customHeight="1">
      <c r="A933" s="277"/>
      <c r="B933" s="277"/>
      <c r="C933" s="284"/>
      <c r="D933" s="40" t="s">
        <v>24</v>
      </c>
      <c r="E933" s="69">
        <v>0.893</v>
      </c>
      <c r="F933" s="98"/>
      <c r="G933" s="102" t="str">
        <f>CONCATENATE(D933," - ",E933,", ")</f>
        <v>Misc. Aluminium scrap - 0.893, </v>
      </c>
      <c r="H933" s="98"/>
      <c r="I933" s="98" t="e">
        <f ca="1">IF(G932&gt;=6,(MID(H933,1,1)&amp;MID(H933,2,4)+1),CELL("address",Z933))</f>
        <v>#VALUE!</v>
      </c>
      <c r="J933" s="98" t="e">
        <f ca="1">IF(G932&gt;=7,(MID(I933,1,1)&amp;MID(I933,2,4)+1),CELL("address",AA933))</f>
        <v>#VALUE!</v>
      </c>
      <c r="K933" s="98" t="e">
        <f ca="1">IF(G932&gt;=8,(MID(J933,1,1)&amp;MID(J933,2,4)+1),CELL("address",AB933))</f>
        <v>#VALUE!</v>
      </c>
      <c r="L933" s="98" t="e">
        <f ca="1">IF(G932&gt;=9,(MID(K933,1,1)&amp;MID(K933,2,4)+1),CELL("address",AC933))</f>
        <v>#VALUE!</v>
      </c>
      <c r="M933" s="98" t="e">
        <f ca="1">IF(G932&gt;=10,(MID(L933,1,1)&amp;MID(L933,2,4)+1),CELL("address",AD933))</f>
        <v>#VALUE!</v>
      </c>
      <c r="N933" s="98" t="e">
        <f ca="1">IF(G932&gt;=11,(MID(M933,1,1)&amp;MID(M933,2,4)+1),CELL("address",AE933))</f>
        <v>#VALUE!</v>
      </c>
      <c r="O933" s="98" t="e">
        <f ca="1">IF(G932&gt;=12,(MID(N933,1,1)&amp;MID(N933,2,4)+1),CELL("address",AF933))</f>
        <v>#VALUE!</v>
      </c>
    </row>
    <row r="934" spans="1:8" ht="17.25" customHeight="1">
      <c r="A934" s="277"/>
      <c r="B934" s="277"/>
      <c r="C934" s="284"/>
      <c r="D934" s="40" t="s">
        <v>37</v>
      </c>
      <c r="E934" s="69">
        <v>0.203</v>
      </c>
      <c r="G934" s="102" t="str">
        <f>CONCATENATE(D934," - ",E934,", ")</f>
        <v>Burnt Cu scrap - 0.203, </v>
      </c>
      <c r="H934" s="1"/>
    </row>
    <row r="935" spans="1:8" ht="17.25" customHeight="1">
      <c r="A935" s="277"/>
      <c r="B935" s="277"/>
      <c r="C935" s="284"/>
      <c r="D935" s="40" t="s">
        <v>58</v>
      </c>
      <c r="E935" s="69">
        <v>0.35</v>
      </c>
      <c r="G935" s="102" t="str">
        <f>CONCATENATE(D935," - ",E935,", ")</f>
        <v>Nuts &amp; Bolts scrap - 0.35, </v>
      </c>
      <c r="H935" s="1"/>
    </row>
    <row r="936" spans="1:8" ht="17.25" customHeight="1">
      <c r="A936" s="275"/>
      <c r="B936" s="276"/>
      <c r="C936" s="258"/>
      <c r="D936" s="40"/>
      <c r="E936" s="69"/>
      <c r="H936" s="1"/>
    </row>
    <row r="937" spans="1:8" ht="15" customHeight="1">
      <c r="A937" s="280"/>
      <c r="B937" s="281"/>
      <c r="C937" s="66"/>
      <c r="D937" s="66"/>
      <c r="E937" s="119">
        <f>SUM(E939:E944)</f>
        <v>11.541</v>
      </c>
      <c r="H937" s="1"/>
    </row>
    <row r="938" spans="1:18" ht="15" customHeight="1">
      <c r="A938" s="292" t="s">
        <v>5</v>
      </c>
      <c r="B938" s="293"/>
      <c r="C938" s="64" t="s">
        <v>17</v>
      </c>
      <c r="D938" s="65" t="s">
        <v>18</v>
      </c>
      <c r="E938" s="68" t="s">
        <v>7</v>
      </c>
      <c r="G938" s="184" t="str">
        <f>CONCATENATE("Misc. Healthy parts/ Non Ferrous  Scrap, Lying at ",C939,". Quantity in MT - ")</f>
        <v>Misc. Healthy parts/ Non Ferrous  Scrap, Lying at TRY Ferozepur. Quantity in MT - </v>
      </c>
      <c r="H938" s="274" t="str">
        <f ca="1">CONCATENATE(G938,G939,(INDIRECT(I939)),(INDIRECT(J939)),(INDIRECT(K939)),(INDIRECT(L939)),(INDIRECT(M939)),(INDIRECT(N939)),(INDIRECT(O939)),(INDIRECT(P939)),(INDIRECT(Q939)),(INDIRECT(R939)),".")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938" s="98" t="str">
        <f aca="true" ca="1" t="array" ref="I938">CELL("address",INDEX(G938:G960,MATCH(TRUE,ISBLANK(G938:G960),0)))</f>
        <v>$G$945</v>
      </c>
      <c r="J938" s="98">
        <f aca="true" t="array" ref="J938">MATCH(TRUE,ISBLANK(G938:G960),0)</f>
        <v>8</v>
      </c>
      <c r="K938" s="98">
        <f>J938-3</f>
        <v>5</v>
      </c>
      <c r="L938" s="98"/>
      <c r="M938" s="98"/>
      <c r="N938" s="98"/>
      <c r="O938" s="98"/>
      <c r="P938" s="98"/>
      <c r="Q938" s="98"/>
      <c r="R938" s="98"/>
    </row>
    <row r="939" spans="1:18" ht="15" customHeight="1">
      <c r="A939" s="277" t="s">
        <v>110</v>
      </c>
      <c r="B939" s="277"/>
      <c r="C939" s="284" t="s">
        <v>42</v>
      </c>
      <c r="D939" s="40" t="s">
        <v>23</v>
      </c>
      <c r="E939" s="69">
        <v>5.187</v>
      </c>
      <c r="G939" s="102" t="str">
        <f aca="true" t="shared" si="6" ref="G939:G944">CONCATENATE(D939," - ",E939,", ")</f>
        <v>Brass scrap - 5.187, </v>
      </c>
      <c r="H939" s="274"/>
      <c r="I939" s="98" t="str">
        <f ca="1">IF(J938&gt;=3,(MID(I938,2,1)&amp;MID(I938,4,4)-K938),CELL("address",Z939))</f>
        <v>G940</v>
      </c>
      <c r="J939" s="98" t="str">
        <f ca="1">IF(J938&gt;=4,(MID(I939,1,1)&amp;MID(I939,2,4)+1),CELL("address",AA939))</f>
        <v>G941</v>
      </c>
      <c r="K939" s="98" t="str">
        <f ca="1">IF(J938&gt;=5,(MID(J939,1,1)&amp;MID(J939,2,4)+1),CELL("address",AB939))</f>
        <v>G942</v>
      </c>
      <c r="L939" s="98" t="str">
        <f ca="1">IF(J938&gt;=6,(MID(K939,1,1)&amp;MID(K939,2,4)+1),CELL("address",AC939))</f>
        <v>G943</v>
      </c>
      <c r="M939" s="98" t="str">
        <f ca="1">IF(J938&gt;=7,(MID(L939,1,1)&amp;MID(L939,2,4)+1),CELL("address",AD939))</f>
        <v>G944</v>
      </c>
      <c r="N939" s="98" t="str">
        <f ca="1">IF(J938&gt;=8,(MID(M939,1,1)&amp;MID(M939,2,4)+1),CELL("address",AE939))</f>
        <v>G945</v>
      </c>
      <c r="O939" s="98" t="str">
        <f ca="1">IF(J938&gt;=9,(MID(N939,1,1)&amp;MID(N939,2,4)+1),CELL("address",AF939))</f>
        <v>$AF$939</v>
      </c>
      <c r="P939" s="98" t="str">
        <f ca="1">IF(J938&gt;=10,(MID(O939,1,1)&amp;MID(O939,2,4)+1),CELL("address",AG939))</f>
        <v>$AG$939</v>
      </c>
      <c r="Q939" s="98" t="str">
        <f ca="1">IF(J938&gt;=11,(MID(P939,1,1)&amp;MID(P939,2,4)+1),CELL("address",AH939))</f>
        <v>$AH$939</v>
      </c>
      <c r="R939" s="98" t="str">
        <f ca="1">IF(J938&gt;=12,(MID(Q939,1,1)&amp;MID(Q939,2,4)+1),CELL("address",AI939))</f>
        <v>$AI$939</v>
      </c>
    </row>
    <row r="940" spans="1:8" ht="15" customHeight="1">
      <c r="A940" s="277"/>
      <c r="B940" s="277"/>
      <c r="C940" s="284"/>
      <c r="D940" s="40" t="s">
        <v>24</v>
      </c>
      <c r="E940" s="69">
        <v>0.926</v>
      </c>
      <c r="G940" s="102" t="str">
        <f t="shared" si="6"/>
        <v>Misc. Aluminium scrap - 0.926, </v>
      </c>
      <c r="H940" s="1"/>
    </row>
    <row r="941" spans="1:15" ht="15" customHeight="1">
      <c r="A941" s="277"/>
      <c r="B941" s="277"/>
      <c r="C941" s="284"/>
      <c r="D941" s="40" t="s">
        <v>27</v>
      </c>
      <c r="E941" s="68">
        <v>0.651</v>
      </c>
      <c r="F941" s="98"/>
      <c r="G941" s="102" t="str">
        <f t="shared" si="6"/>
        <v>Iron scrap - 0.651, </v>
      </c>
      <c r="H941" s="98"/>
      <c r="I941" s="98"/>
      <c r="J941" s="98"/>
      <c r="K941" s="98"/>
      <c r="L941" s="98"/>
      <c r="M941" s="98"/>
      <c r="N941" s="98"/>
      <c r="O941" s="98"/>
    </row>
    <row r="942" spans="1:15" ht="15" customHeight="1">
      <c r="A942" s="277"/>
      <c r="B942" s="277"/>
      <c r="C942" s="284"/>
      <c r="D942" s="40" t="s">
        <v>37</v>
      </c>
      <c r="E942" s="68">
        <v>0.235</v>
      </c>
      <c r="F942" s="98"/>
      <c r="G942" s="102" t="str">
        <f t="shared" si="6"/>
        <v>Burnt Cu scrap - 0.235, </v>
      </c>
      <c r="H942" s="98"/>
      <c r="I942" s="98" t="e">
        <f ca="1">IF(G941&gt;=6,(MID(H942,1,1)&amp;MID(H942,2,4)+1),CELL("address",Z942))</f>
        <v>#VALUE!</v>
      </c>
      <c r="J942" s="98" t="e">
        <f ca="1">IF(G941&gt;=7,(MID(I942,1,1)&amp;MID(I942,2,4)+1),CELL("address",AA942))</f>
        <v>#VALUE!</v>
      </c>
      <c r="K942" s="98" t="e">
        <f ca="1">IF(G941&gt;=8,(MID(J942,1,1)&amp;MID(J942,2,4)+1),CELL("address",AB942))</f>
        <v>#VALUE!</v>
      </c>
      <c r="L942" s="98" t="e">
        <f ca="1">IF(G941&gt;=9,(MID(K942,1,1)&amp;MID(K942,2,4)+1),CELL("address",AC942))</f>
        <v>#VALUE!</v>
      </c>
      <c r="M942" s="98" t="e">
        <f ca="1">IF(G941&gt;=10,(MID(L942,1,1)&amp;MID(L942,2,4)+1),CELL("address",AD942))</f>
        <v>#VALUE!</v>
      </c>
      <c r="N942" s="98" t="e">
        <f ca="1">IF(G941&gt;=11,(MID(M942,1,1)&amp;MID(M942,2,4)+1),CELL("address",AE942))</f>
        <v>#VALUE!</v>
      </c>
      <c r="O942" s="98" t="e">
        <f ca="1">IF(G941&gt;=12,(MID(N942,1,1)&amp;MID(N942,2,4)+1),CELL("address",AF942))</f>
        <v>#VALUE!</v>
      </c>
    </row>
    <row r="943" spans="1:8" ht="15" customHeight="1">
      <c r="A943" s="277"/>
      <c r="B943" s="277"/>
      <c r="C943" s="284"/>
      <c r="D943" s="40" t="s">
        <v>58</v>
      </c>
      <c r="E943" s="68">
        <v>4.092</v>
      </c>
      <c r="G943" s="102" t="str">
        <f t="shared" si="6"/>
        <v>Nuts &amp; Bolts scrap - 4.092, </v>
      </c>
      <c r="H943" s="1"/>
    </row>
    <row r="944" spans="1:8" ht="15" customHeight="1">
      <c r="A944" s="277"/>
      <c r="B944" s="277"/>
      <c r="C944" s="284"/>
      <c r="D944" s="40" t="s">
        <v>64</v>
      </c>
      <c r="E944" s="183">
        <v>0.45</v>
      </c>
      <c r="G944" s="102" t="str">
        <f t="shared" si="6"/>
        <v>Teen Patra scrap - 0.45, </v>
      </c>
      <c r="H944" s="1"/>
    </row>
    <row r="945" spans="1:8" ht="15" customHeight="1">
      <c r="A945" s="39"/>
      <c r="B945" s="42"/>
      <c r="C945" s="258"/>
      <c r="D945" s="40"/>
      <c r="E945" s="183"/>
      <c r="H945" s="1"/>
    </row>
    <row r="946" spans="1:8" ht="15" customHeight="1">
      <c r="A946" s="280"/>
      <c r="B946" s="281"/>
      <c r="C946" s="66"/>
      <c r="D946" s="66"/>
      <c r="E946" s="119">
        <f>SUM(E948:E952)</f>
        <v>3.672</v>
      </c>
      <c r="H946" s="1"/>
    </row>
    <row r="947" spans="1:18" ht="15" customHeight="1">
      <c r="A947" s="277" t="s">
        <v>5</v>
      </c>
      <c r="B947" s="277"/>
      <c r="C947" s="64" t="s">
        <v>17</v>
      </c>
      <c r="D947" s="65" t="s">
        <v>18</v>
      </c>
      <c r="E947" s="68" t="s">
        <v>7</v>
      </c>
      <c r="G947" s="184" t="str">
        <f>CONCATENATE("Misc. Healthy parts/ Non Ferrous  Scrap, Lying at ",C948,". Quantity in MT - ")</f>
        <v>Misc. Healthy parts/ Non Ferrous  Scrap, Lying at OL store Ropar. Quantity in MT - </v>
      </c>
      <c r="H947" s="274" t="str">
        <f ca="1">CONCATENATE(G947,G948,(INDIRECT(I948)),(INDIRECT(J948)),(INDIRECT(K948)),(INDIRECT(L948)),(INDIRECT(M948)),(INDIRECT(N948)),(INDIRECT(O948)),(INDIRECT(P948)),(INDIRECT(Q948)),(INDIRECT(R948)),".")</f>
        <v>Misc. Healthy parts/ Non Ferrous  Scrap, Lying at OL store Ropar. Quantity in MT - Brass scrap - 2.473, Misc. Aluminium scrap - 0.346, Burnt Cu scrap - 0.298, All Alumn. Conductor Scrap - 0.317, Misc. Copper scrap - 0.238, .</v>
      </c>
      <c r="I947" s="98" t="str">
        <f aca="true" ca="1" t="array" ref="I947">CELL("address",INDEX(G947:G969,MATCH(TRUE,ISBLANK(G947:G969),0)))</f>
        <v>$G$953</v>
      </c>
      <c r="J947" s="98">
        <f aca="true" t="array" ref="J947">MATCH(TRUE,ISBLANK(G947:G969),0)</f>
        <v>7</v>
      </c>
      <c r="K947" s="98">
        <f>J947-3</f>
        <v>4</v>
      </c>
      <c r="L947" s="98"/>
      <c r="M947" s="98"/>
      <c r="N947" s="98"/>
      <c r="O947" s="98"/>
      <c r="P947" s="98"/>
      <c r="Q947" s="98"/>
      <c r="R947" s="98"/>
    </row>
    <row r="948" spans="1:18" ht="15" customHeight="1">
      <c r="A948" s="292" t="s">
        <v>26</v>
      </c>
      <c r="B948" s="293"/>
      <c r="C948" s="298" t="s">
        <v>46</v>
      </c>
      <c r="D948" s="40" t="s">
        <v>23</v>
      </c>
      <c r="E948" s="69">
        <v>2.473</v>
      </c>
      <c r="G948" s="102" t="str">
        <f>CONCATENATE(D948," - ",E948,", ")</f>
        <v>Brass scrap - 2.473, </v>
      </c>
      <c r="H948" s="274"/>
      <c r="I948" s="98" t="str">
        <f ca="1">IF(J947&gt;=3,(MID(I947,2,1)&amp;MID(I947,4,4)-K947),CELL("address",Z948))</f>
        <v>G949</v>
      </c>
      <c r="J948" s="98" t="str">
        <f ca="1">IF(J947&gt;=4,(MID(I948,1,1)&amp;MID(I948,2,4)+1),CELL("address",AA948))</f>
        <v>G950</v>
      </c>
      <c r="K948" s="98" t="str">
        <f ca="1">IF(J947&gt;=5,(MID(J948,1,1)&amp;MID(J948,2,4)+1),CELL("address",AB948))</f>
        <v>G951</v>
      </c>
      <c r="L948" s="98" t="str">
        <f ca="1">IF(J947&gt;=6,(MID(K948,1,1)&amp;MID(K948,2,4)+1),CELL("address",AC948))</f>
        <v>G952</v>
      </c>
      <c r="M948" s="98" t="str">
        <f ca="1">IF(J947&gt;=7,(MID(L948,1,1)&amp;MID(L948,2,4)+1),CELL("address",AD948))</f>
        <v>G953</v>
      </c>
      <c r="N948" s="98" t="str">
        <f ca="1">IF(J947&gt;=8,(MID(M948,1,1)&amp;MID(M948,2,4)+1),CELL("address",AE948))</f>
        <v>$AE$948</v>
      </c>
      <c r="O948" s="98" t="str">
        <f ca="1">IF(J947&gt;=9,(MID(N948,1,1)&amp;MID(N948,2,4)+1),CELL("address",AF948))</f>
        <v>$AF$948</v>
      </c>
      <c r="P948" s="98" t="str">
        <f ca="1">IF(J947&gt;=10,(MID(O948,1,1)&amp;MID(O948,2,4)+1),CELL("address",AG948))</f>
        <v>$AG$948</v>
      </c>
      <c r="Q948" s="98" t="str">
        <f ca="1">IF(J947&gt;=11,(MID(P948,1,1)&amp;MID(P948,2,4)+1),CELL("address",AH948))</f>
        <v>$AH$948</v>
      </c>
      <c r="R948" s="98" t="str">
        <f ca="1">IF(J947&gt;=12,(MID(Q948,1,1)&amp;MID(Q948,2,4)+1),CELL("address",AI948))</f>
        <v>$AI$948</v>
      </c>
    </row>
    <row r="949" spans="1:15" ht="15" customHeight="1">
      <c r="A949" s="294"/>
      <c r="B949" s="295"/>
      <c r="C949" s="299"/>
      <c r="D949" s="40" t="s">
        <v>24</v>
      </c>
      <c r="E949" s="69">
        <v>0.346</v>
      </c>
      <c r="F949" s="98"/>
      <c r="G949" s="102" t="str">
        <f>CONCATENATE(D949," - ",E949,", ")</f>
        <v>Misc. Aluminium scrap - 0.346, </v>
      </c>
      <c r="H949" s="98"/>
      <c r="I949" s="98"/>
      <c r="J949" s="98"/>
      <c r="K949" s="98"/>
      <c r="L949" s="98"/>
      <c r="M949" s="98"/>
      <c r="N949" s="98"/>
      <c r="O949" s="98"/>
    </row>
    <row r="950" spans="1:15" ht="15" customHeight="1">
      <c r="A950" s="294"/>
      <c r="B950" s="295"/>
      <c r="C950" s="299"/>
      <c r="D950" s="39" t="s">
        <v>37</v>
      </c>
      <c r="E950" s="69">
        <v>0.298</v>
      </c>
      <c r="F950" s="98"/>
      <c r="G950" s="102" t="str">
        <f>CONCATENATE(D950," - ",E950,", ")</f>
        <v>Burnt Cu scrap - 0.298, </v>
      </c>
      <c r="H950" s="98"/>
      <c r="I950" s="98" t="e">
        <f ca="1">IF(G949&gt;=6,(MID(H950,1,1)&amp;MID(H950,2,4)+1),CELL("address",Z950))</f>
        <v>#VALUE!</v>
      </c>
      <c r="J950" s="98" t="e">
        <f ca="1">IF(G949&gt;=7,(MID(I950,1,1)&amp;MID(I950,2,4)+1),CELL("address",AA950))</f>
        <v>#VALUE!</v>
      </c>
      <c r="K950" s="98" t="e">
        <f ca="1">IF(G949&gt;=8,(MID(J950,1,1)&amp;MID(J950,2,4)+1),CELL("address",AB950))</f>
        <v>#VALUE!</v>
      </c>
      <c r="L950" s="98" t="e">
        <f ca="1">IF(G949&gt;=9,(MID(K950,1,1)&amp;MID(K950,2,4)+1),CELL("address",AC950))</f>
        <v>#VALUE!</v>
      </c>
      <c r="M950" s="98" t="e">
        <f ca="1">IF(G949&gt;=10,(MID(L950,1,1)&amp;MID(L950,2,4)+1),CELL("address",AD950))</f>
        <v>#VALUE!</v>
      </c>
      <c r="N950" s="98" t="e">
        <f ca="1">IF(G949&gt;=11,(MID(M950,1,1)&amp;MID(M950,2,4)+1),CELL("address",AE950))</f>
        <v>#VALUE!</v>
      </c>
      <c r="O950" s="98" t="e">
        <f ca="1">IF(G949&gt;=12,(MID(N950,1,1)&amp;MID(N950,2,4)+1),CELL("address",AF950))</f>
        <v>#VALUE!</v>
      </c>
    </row>
    <row r="951" spans="1:8" ht="15" customHeight="1">
      <c r="A951" s="294"/>
      <c r="B951" s="295"/>
      <c r="C951" s="299"/>
      <c r="D951" s="45" t="s">
        <v>32</v>
      </c>
      <c r="E951" s="69">
        <v>0.317</v>
      </c>
      <c r="G951" s="102" t="str">
        <f>CONCATENATE(D951," - ",E951,", ")</f>
        <v>All Alumn. Conductor Scrap - 0.317, </v>
      </c>
      <c r="H951" s="1"/>
    </row>
    <row r="952" spans="1:8" ht="15" customHeight="1">
      <c r="A952" s="301"/>
      <c r="B952" s="302"/>
      <c r="C952" s="305"/>
      <c r="D952" s="40" t="s">
        <v>45</v>
      </c>
      <c r="E952" s="69">
        <v>0.238</v>
      </c>
      <c r="G952" s="102" t="str">
        <f>CONCATENATE(D952," - ",E952,", ")</f>
        <v>Misc. Copper scrap - 0.238, </v>
      </c>
      <c r="H952" s="1"/>
    </row>
    <row r="953" spans="1:8" ht="15" customHeight="1">
      <c r="A953" s="50"/>
      <c r="B953" s="59"/>
      <c r="C953" s="262"/>
      <c r="D953" s="40"/>
      <c r="E953" s="69"/>
      <c r="H953" s="1"/>
    </row>
    <row r="954" spans="1:15" ht="15" customHeight="1">
      <c r="A954" s="280"/>
      <c r="B954" s="281"/>
      <c r="C954" s="66"/>
      <c r="D954" s="66"/>
      <c r="E954" s="119">
        <f>SUM(E956:E957)</f>
        <v>2.408</v>
      </c>
      <c r="F954" s="98"/>
      <c r="G954" s="98"/>
      <c r="H954" s="98"/>
      <c r="I954" s="98"/>
      <c r="J954" s="98"/>
      <c r="K954" s="98"/>
      <c r="L954" s="98"/>
      <c r="M954" s="98"/>
      <c r="N954" s="98"/>
      <c r="O954" s="98"/>
    </row>
    <row r="955" spans="1:18" ht="15" customHeight="1">
      <c r="A955" s="277" t="s">
        <v>5</v>
      </c>
      <c r="B955" s="277"/>
      <c r="C955" s="64" t="s">
        <v>17</v>
      </c>
      <c r="D955" s="65" t="s">
        <v>18</v>
      </c>
      <c r="E955" s="68" t="s">
        <v>7</v>
      </c>
      <c r="F955" s="98"/>
      <c r="G955" s="184" t="str">
        <f>CONCATENATE("Misc. Healthy parts/ Non Ferrous  Scrap, Lying at ",C956,". Quantity in MT - ")</f>
        <v>Misc. Healthy parts/ Non Ferrous  Scrap, Lying at TRY Ferozepur. Quantity in MT - </v>
      </c>
      <c r="H955" s="274" t="str">
        <f ca="1">CONCATENATE(G955,G956,(INDIRECT(I956)),(INDIRECT(J956)),(INDIRECT(K956)),(INDIRECT(L956)),(INDIRECT(M956)),(INDIRECT(N956)),(INDIRECT(O956)),(INDIRECT(P956)),(INDIRECT(Q956)),(INDIRECT(R956)),".")</f>
        <v>Misc. Healthy parts/ Non Ferrous  Scrap, Lying at TRY Ferozepur. Quantity in MT - Brass scrap - 2.09, Misc. Alumn. Scrap - 0.318, .</v>
      </c>
      <c r="I955" s="98" t="str">
        <f aca="true" ca="1" t="array" ref="I955">CELL("address",INDEX(G955:G977,MATCH(TRUE,ISBLANK(G955:G977),0)))</f>
        <v>$G$958</v>
      </c>
      <c r="J955" s="98">
        <f aca="true" t="array" ref="J955">MATCH(TRUE,ISBLANK(G955:G977),0)</f>
        <v>4</v>
      </c>
      <c r="K955" s="98">
        <f>J955-3</f>
        <v>1</v>
      </c>
      <c r="L955" s="98"/>
      <c r="M955" s="98"/>
      <c r="N955" s="98"/>
      <c r="O955" s="98"/>
      <c r="P955" s="98"/>
      <c r="Q955" s="98"/>
      <c r="R955" s="98"/>
    </row>
    <row r="956" spans="1:18" ht="18" customHeight="1">
      <c r="A956" s="277" t="s">
        <v>38</v>
      </c>
      <c r="B956" s="277"/>
      <c r="C956" s="284" t="s">
        <v>42</v>
      </c>
      <c r="D956" s="45" t="s">
        <v>23</v>
      </c>
      <c r="E956" s="120">
        <v>2.09</v>
      </c>
      <c r="G956" s="102" t="str">
        <f>CONCATENATE(D956," - ",E956,", ")</f>
        <v>Brass scrap - 2.09, </v>
      </c>
      <c r="H956" s="274"/>
      <c r="I956" s="98" t="str">
        <f ca="1">IF(J955&gt;=3,(MID(I955,2,1)&amp;MID(I955,4,4)-K955),CELL("address",Z956))</f>
        <v>G957</v>
      </c>
      <c r="J956" s="98" t="str">
        <f ca="1">IF(J955&gt;=4,(MID(I956,1,1)&amp;MID(I956,2,4)+1),CELL("address",AA956))</f>
        <v>G958</v>
      </c>
      <c r="K956" s="98" t="str">
        <f ca="1">IF(J955&gt;=5,(MID(J956,1,1)&amp;MID(J956,2,4)+1),CELL("address",AB956))</f>
        <v>$AB$956</v>
      </c>
      <c r="L956" s="98" t="str">
        <f ca="1">IF(J955&gt;=6,(MID(K956,1,1)&amp;MID(K956,2,4)+1),CELL("address",AC956))</f>
        <v>$AC$956</v>
      </c>
      <c r="M956" s="98" t="str">
        <f ca="1">IF(J955&gt;=7,(MID(L956,1,1)&amp;MID(L956,2,4)+1),CELL("address",AD956))</f>
        <v>$AD$956</v>
      </c>
      <c r="N956" s="98" t="str">
        <f ca="1">IF(J955&gt;=8,(MID(M956,1,1)&amp;MID(M956,2,4)+1),CELL("address",AE956))</f>
        <v>$AE$956</v>
      </c>
      <c r="O956" s="98" t="str">
        <f ca="1">IF(J955&gt;=9,(MID(N956,1,1)&amp;MID(N956,2,4)+1),CELL("address",AF956))</f>
        <v>$AF$956</v>
      </c>
      <c r="P956" s="98" t="str">
        <f ca="1">IF(J955&gt;=10,(MID(O956,1,1)&amp;MID(O956,2,4)+1),CELL("address",AG956))</f>
        <v>$AG$956</v>
      </c>
      <c r="Q956" s="98" t="str">
        <f ca="1">IF(J955&gt;=11,(MID(P956,1,1)&amp;MID(P956,2,4)+1),CELL("address",AH956))</f>
        <v>$AH$956</v>
      </c>
      <c r="R956" s="98" t="str">
        <f ca="1">IF(J955&gt;=12,(MID(Q956,1,1)&amp;MID(Q956,2,4)+1),CELL("address",AI956))</f>
        <v>$AI$956</v>
      </c>
    </row>
    <row r="957" spans="1:8" ht="19.5" customHeight="1">
      <c r="A957" s="277"/>
      <c r="B957" s="277"/>
      <c r="C957" s="284"/>
      <c r="D957" s="45" t="s">
        <v>31</v>
      </c>
      <c r="E957" s="120">
        <v>0.318</v>
      </c>
      <c r="G957" s="102" t="str">
        <f>CONCATENATE(D957," - ",E957,", ")</f>
        <v>Misc. Alumn. Scrap - 0.318, </v>
      </c>
      <c r="H957" s="1"/>
    </row>
    <row r="958" spans="1:8" ht="15" customHeight="1">
      <c r="A958" s="275"/>
      <c r="B958" s="276"/>
      <c r="C958" s="258"/>
      <c r="D958" s="45"/>
      <c r="E958" s="120"/>
      <c r="H958" s="1"/>
    </row>
    <row r="959" spans="1:8" ht="15" customHeight="1">
      <c r="A959" s="280"/>
      <c r="B959" s="281"/>
      <c r="C959" s="66"/>
      <c r="D959" s="66"/>
      <c r="E959" s="119">
        <f>SUM(E961:E964)</f>
        <v>2.7289999999999996</v>
      </c>
      <c r="H959" s="1"/>
    </row>
    <row r="960" spans="1:18" ht="15" customHeight="1">
      <c r="A960" s="275" t="s">
        <v>5</v>
      </c>
      <c r="B960" s="276"/>
      <c r="C960" s="64" t="s">
        <v>17</v>
      </c>
      <c r="D960" s="65" t="s">
        <v>18</v>
      </c>
      <c r="E960" s="68" t="s">
        <v>7</v>
      </c>
      <c r="G960" s="184" t="str">
        <f>CONCATENATE("Misc. Healthy parts/ Non Ferrous  Scrap, Lying at ",C961,". Quantity in MT - ")</f>
        <v>Misc. Healthy parts/ Non Ferrous  Scrap, Lying at TRY Malerkotla. Quantity in MT - </v>
      </c>
      <c r="H960" s="274" t="str">
        <f ca="1">CONCATENATE(G960,G961,(INDIRECT(I961)),(INDIRECT(J961)),(INDIRECT(K961)),(INDIRECT(L961)),(INDIRECT(M961)),(INDIRECT(N961)),(INDIRECT(O961)),(INDIRECT(P961)),(INDIRECT(Q961)),(INDIRECT(R961)),".")</f>
        <v>Misc. Healthy parts/ Non Ferrous  Scrap, Lying at TRY Malerkotla. Quantity in MT - Brass scrap - 2.114, Misc. Aluminium scrap - 0.183, Burnt Aluminium scrap - 0.287, Burnt Cu scrap - 0.145, .</v>
      </c>
      <c r="I960" s="98" t="str">
        <f aca="true" ca="1" t="array" ref="I960">CELL("address",INDEX(G960:G982,MATCH(TRUE,ISBLANK(G960:G982),0)))</f>
        <v>$G$965</v>
      </c>
      <c r="J960" s="98">
        <f aca="true" t="array" ref="J960">MATCH(TRUE,ISBLANK(G960:G982),0)</f>
        <v>6</v>
      </c>
      <c r="K960" s="98">
        <f>J960-3</f>
        <v>3</v>
      </c>
      <c r="L960" s="98"/>
      <c r="M960" s="98"/>
      <c r="N960" s="98"/>
      <c r="O960" s="98"/>
      <c r="P960" s="98"/>
      <c r="Q960" s="98"/>
      <c r="R960" s="98"/>
    </row>
    <row r="961" spans="1:18" ht="15" customHeight="1">
      <c r="A961" s="277" t="s">
        <v>48</v>
      </c>
      <c r="B961" s="277"/>
      <c r="C961" s="284" t="s">
        <v>28</v>
      </c>
      <c r="D961" s="40" t="s">
        <v>23</v>
      </c>
      <c r="E961" s="69">
        <v>2.114</v>
      </c>
      <c r="F961" s="98"/>
      <c r="G961" s="102" t="str">
        <f>CONCATENATE(D961," - ",E961,", ")</f>
        <v>Brass scrap - 2.114, </v>
      </c>
      <c r="H961" s="274"/>
      <c r="I961" s="98" t="str">
        <f ca="1">IF(J960&gt;=3,(MID(I960,2,1)&amp;MID(I960,4,4)-K960),CELL("address",Z961))</f>
        <v>G962</v>
      </c>
      <c r="J961" s="98" t="str">
        <f ca="1">IF(J960&gt;=4,(MID(I961,1,1)&amp;MID(I961,2,4)+1),CELL("address",AA961))</f>
        <v>G963</v>
      </c>
      <c r="K961" s="98" t="str">
        <f ca="1">IF(J960&gt;=5,(MID(J961,1,1)&amp;MID(J961,2,4)+1),CELL("address",AB961))</f>
        <v>G964</v>
      </c>
      <c r="L961" s="98" t="str">
        <f ca="1">IF(J960&gt;=6,(MID(K961,1,1)&amp;MID(K961,2,4)+1),CELL("address",AC961))</f>
        <v>G965</v>
      </c>
      <c r="M961" s="98" t="str">
        <f ca="1">IF(J960&gt;=7,(MID(L961,1,1)&amp;MID(L961,2,4)+1),CELL("address",AD961))</f>
        <v>$AD$961</v>
      </c>
      <c r="N961" s="98" t="str">
        <f ca="1">IF(J960&gt;=8,(MID(M961,1,1)&amp;MID(M961,2,4)+1),CELL("address",AE961))</f>
        <v>$AE$961</v>
      </c>
      <c r="O961" s="98" t="str">
        <f ca="1">IF(J960&gt;=9,(MID(N961,1,1)&amp;MID(N961,2,4)+1),CELL("address",AF961))</f>
        <v>$AF$961</v>
      </c>
      <c r="P961" s="98" t="str">
        <f ca="1">IF(J960&gt;=10,(MID(O961,1,1)&amp;MID(O961,2,4)+1),CELL("address",AG961))</f>
        <v>$AG$961</v>
      </c>
      <c r="Q961" s="98" t="str">
        <f ca="1">IF(J960&gt;=11,(MID(P961,1,1)&amp;MID(P961,2,4)+1),CELL("address",AH961))</f>
        <v>$AH$961</v>
      </c>
      <c r="R961" s="98" t="str">
        <f ca="1">IF(J960&gt;=12,(MID(Q961,1,1)&amp;MID(Q961,2,4)+1),CELL("address",AI961))</f>
        <v>$AI$961</v>
      </c>
    </row>
    <row r="962" spans="1:15" ht="15" customHeight="1">
      <c r="A962" s="277"/>
      <c r="B962" s="277"/>
      <c r="C962" s="284"/>
      <c r="D962" s="40" t="s">
        <v>24</v>
      </c>
      <c r="E962" s="69">
        <v>0.183</v>
      </c>
      <c r="F962" s="98"/>
      <c r="G962" s="102" t="str">
        <f>CONCATENATE(D962," - ",E962,", ")</f>
        <v>Misc. Aluminium scrap - 0.183, </v>
      </c>
      <c r="H962" s="98"/>
      <c r="I962" s="98" t="e">
        <f ca="1">IF(G961&gt;=6,(MID(H962,1,1)&amp;MID(H962,2,4)+1),CELL("address",Z962))</f>
        <v>#VALUE!</v>
      </c>
      <c r="J962" s="98" t="e">
        <f ca="1">IF(G961&gt;=7,(MID(I962,1,1)&amp;MID(I962,2,4)+1),CELL("address",AA962))</f>
        <v>#VALUE!</v>
      </c>
      <c r="K962" s="98" t="e">
        <f ca="1">IF(G961&gt;=8,(MID(J962,1,1)&amp;MID(J962,2,4)+1),CELL("address",AB962))</f>
        <v>#VALUE!</v>
      </c>
      <c r="L962" s="98" t="e">
        <f ca="1">IF(G961&gt;=9,(MID(K962,1,1)&amp;MID(K962,2,4)+1),CELL("address",AC962))</f>
        <v>#VALUE!</v>
      </c>
      <c r="M962" s="98" t="e">
        <f ca="1">IF(G961&gt;=10,(MID(L962,1,1)&amp;MID(L962,2,4)+1),CELL("address",AD962))</f>
        <v>#VALUE!</v>
      </c>
      <c r="N962" s="98" t="e">
        <f ca="1">IF(G961&gt;=11,(MID(M962,1,1)&amp;MID(M962,2,4)+1),CELL("address",AE962))</f>
        <v>#VALUE!</v>
      </c>
      <c r="O962" s="98" t="e">
        <f ca="1">IF(G961&gt;=12,(MID(N962,1,1)&amp;MID(N962,2,4)+1),CELL("address",AF962))</f>
        <v>#VALUE!</v>
      </c>
    </row>
    <row r="963" spans="1:8" ht="15" customHeight="1">
      <c r="A963" s="277"/>
      <c r="B963" s="277"/>
      <c r="C963" s="284"/>
      <c r="D963" s="40" t="s">
        <v>41</v>
      </c>
      <c r="E963" s="69">
        <v>0.287</v>
      </c>
      <c r="G963" s="102" t="str">
        <f>CONCATENATE(D963," - ",E963,", ")</f>
        <v>Burnt Aluminium scrap - 0.287, </v>
      </c>
      <c r="H963" s="1"/>
    </row>
    <row r="964" spans="1:8" ht="15" customHeight="1">
      <c r="A964" s="277"/>
      <c r="B964" s="277"/>
      <c r="C964" s="284"/>
      <c r="D964" s="40" t="s">
        <v>37</v>
      </c>
      <c r="E964" s="68">
        <v>0.145</v>
      </c>
      <c r="G964" s="102" t="str">
        <f>CONCATENATE(D964," - ",E964,", ")</f>
        <v>Burnt Cu scrap - 0.145, </v>
      </c>
      <c r="H964" s="1"/>
    </row>
    <row r="965" spans="1:8" ht="15" customHeight="1">
      <c r="A965" s="39"/>
      <c r="B965" s="42"/>
      <c r="C965" s="258"/>
      <c r="D965" s="40"/>
      <c r="E965" s="68"/>
      <c r="H965" s="1"/>
    </row>
    <row r="966" spans="1:8" ht="15" customHeight="1">
      <c r="A966" s="280"/>
      <c r="B966" s="281"/>
      <c r="C966" s="66"/>
      <c r="D966" s="66"/>
      <c r="E966" s="119">
        <f>SUM(E968:E971)</f>
        <v>0.418</v>
      </c>
      <c r="H966" s="1"/>
    </row>
    <row r="967" spans="1:18" ht="15" customHeight="1">
      <c r="A967" s="277" t="s">
        <v>5</v>
      </c>
      <c r="B967" s="277"/>
      <c r="C967" s="64" t="s">
        <v>17</v>
      </c>
      <c r="D967" s="65" t="s">
        <v>18</v>
      </c>
      <c r="E967" s="68" t="s">
        <v>7</v>
      </c>
      <c r="G967" s="184" t="str">
        <f>CONCATENATE("Misc. Healthy parts/ Non Ferrous  Scrap, Lying at ",C968,". Quantity in MT - ")</f>
        <v>Misc. Healthy parts/ Non Ferrous  Scrap, Lying at CS Mohali. Quantity in MT - </v>
      </c>
      <c r="H967" s="274" t="str">
        <f ca="1">CONCATENATE(G967,G968,(INDIRECT(I968)),(INDIRECT(J968)),(INDIRECT(K968)),(INDIRECT(L968)),(INDIRECT(M968)),(INDIRECT(N968)),(INDIRECT(O968)),(INDIRECT(P968)),(INDIRECT(Q968)),(INDIRECT(R968)),".")</f>
        <v>Misc. Healthy parts/ Non Ferrous  Scrap, Lying at CS Mohali. Quantity in MT - Misc. Copper scrap - 0.313, Burnt Cu scrap - 0.041, All Alumn. Conductor Scrap - 0.054, Brass scrap - 0.01, .</v>
      </c>
      <c r="I967" s="98" t="str">
        <f aca="true" ca="1" t="array" ref="I967">CELL("address",INDEX(G967:G990,MATCH(TRUE,ISBLANK(G967:G990),0)))</f>
        <v>$G$972</v>
      </c>
      <c r="J967" s="98">
        <f aca="true" t="array" ref="J967">MATCH(TRUE,ISBLANK(G967:G990),0)</f>
        <v>6</v>
      </c>
      <c r="K967" s="98">
        <f>J967-3</f>
        <v>3</v>
      </c>
      <c r="L967" s="98"/>
      <c r="M967" s="98"/>
      <c r="N967" s="98"/>
      <c r="O967" s="98"/>
      <c r="P967" s="98"/>
      <c r="Q967" s="98"/>
      <c r="R967" s="98"/>
    </row>
    <row r="968" spans="1:18" ht="15" customHeight="1">
      <c r="A968" s="277" t="s">
        <v>39</v>
      </c>
      <c r="B968" s="277"/>
      <c r="C968" s="284" t="s">
        <v>62</v>
      </c>
      <c r="D968" s="40" t="s">
        <v>45</v>
      </c>
      <c r="E968" s="69">
        <v>0.313</v>
      </c>
      <c r="F968" s="98"/>
      <c r="G968" s="102" t="str">
        <f>CONCATENATE(D968," - ",E968,", ")</f>
        <v>Misc. Copper scrap - 0.313, </v>
      </c>
      <c r="H968" s="274"/>
      <c r="I968" s="98" t="str">
        <f ca="1">IF(J967&gt;=3,(MID(I967,2,1)&amp;MID(I967,4,4)-K967),CELL("address",Z968))</f>
        <v>G969</v>
      </c>
      <c r="J968" s="98" t="str">
        <f ca="1">IF(J967&gt;=4,(MID(I968,1,1)&amp;MID(I968,2,4)+1),CELL("address",AA968))</f>
        <v>G970</v>
      </c>
      <c r="K968" s="98" t="str">
        <f ca="1">IF(J967&gt;=5,(MID(J968,1,1)&amp;MID(J968,2,4)+1),CELL("address",AB968))</f>
        <v>G971</v>
      </c>
      <c r="L968" s="98" t="str">
        <f ca="1">IF(J967&gt;=6,(MID(K968,1,1)&amp;MID(K968,2,4)+1),CELL("address",AC968))</f>
        <v>G972</v>
      </c>
      <c r="M968" s="98" t="str">
        <f ca="1">IF(J967&gt;=7,(MID(L968,1,1)&amp;MID(L968,2,4)+1),CELL("address",AD968))</f>
        <v>$AD$968</v>
      </c>
      <c r="N968" s="98" t="str">
        <f ca="1">IF(J967&gt;=8,(MID(M968,1,1)&amp;MID(M968,2,4)+1),CELL("address",AE968))</f>
        <v>$AE$968</v>
      </c>
      <c r="O968" s="98" t="str">
        <f ca="1">IF(J967&gt;=9,(MID(N968,1,1)&amp;MID(N968,2,4)+1),CELL("address",AF968))</f>
        <v>$AF$968</v>
      </c>
      <c r="P968" s="98" t="str">
        <f ca="1">IF(J967&gt;=10,(MID(O968,1,1)&amp;MID(O968,2,4)+1),CELL("address",AG968))</f>
        <v>$AG$968</v>
      </c>
      <c r="Q968" s="98" t="str">
        <f ca="1">IF(J967&gt;=11,(MID(P968,1,1)&amp;MID(P968,2,4)+1),CELL("address",AH968))</f>
        <v>$AH$968</v>
      </c>
      <c r="R968" s="98" t="str">
        <f ca="1">IF(J967&gt;=12,(MID(Q968,1,1)&amp;MID(Q968,2,4)+1),CELL("address",AI968))</f>
        <v>$AI$968</v>
      </c>
    </row>
    <row r="969" spans="1:15" ht="15" customHeight="1">
      <c r="A969" s="277"/>
      <c r="B969" s="277"/>
      <c r="C969" s="284"/>
      <c r="D969" s="39" t="s">
        <v>37</v>
      </c>
      <c r="E969" s="69">
        <v>0.041</v>
      </c>
      <c r="F969" s="98"/>
      <c r="G969" s="102" t="str">
        <f>CONCATENATE(D969," - ",E969,", ")</f>
        <v>Burnt Cu scrap - 0.041, </v>
      </c>
      <c r="H969" s="98"/>
      <c r="I969" s="98" t="e">
        <f ca="1">IF(G968&gt;=6,(MID(H969,1,1)&amp;MID(H969,2,4)+1),CELL("address",Z969))</f>
        <v>#VALUE!</v>
      </c>
      <c r="J969" s="98" t="e">
        <f ca="1">IF(G968&gt;=7,(MID(I969,1,1)&amp;MID(I969,2,4)+1),CELL("address",AA969))</f>
        <v>#VALUE!</v>
      </c>
      <c r="K969" s="98" t="e">
        <f ca="1">IF(G968&gt;=8,(MID(J969,1,1)&amp;MID(J969,2,4)+1),CELL("address",AB969))</f>
        <v>#VALUE!</v>
      </c>
      <c r="L969" s="98" t="e">
        <f ca="1">IF(G968&gt;=9,(MID(K969,1,1)&amp;MID(K969,2,4)+1),CELL("address",AC969))</f>
        <v>#VALUE!</v>
      </c>
      <c r="M969" s="98" t="e">
        <f ca="1">IF(G968&gt;=10,(MID(L969,1,1)&amp;MID(L969,2,4)+1),CELL("address",AD969))</f>
        <v>#VALUE!</v>
      </c>
      <c r="N969" s="98" t="e">
        <f ca="1">IF(G968&gt;=11,(MID(M969,1,1)&amp;MID(M969,2,4)+1),CELL("address",AE969))</f>
        <v>#VALUE!</v>
      </c>
      <c r="O969" s="98" t="e">
        <f ca="1">IF(G968&gt;=12,(MID(N969,1,1)&amp;MID(N969,2,4)+1),CELL("address",AF969))</f>
        <v>#VALUE!</v>
      </c>
    </row>
    <row r="970" spans="1:8" ht="15" customHeight="1">
      <c r="A970" s="277"/>
      <c r="B970" s="277"/>
      <c r="C970" s="284"/>
      <c r="D970" s="45" t="s">
        <v>32</v>
      </c>
      <c r="E970" s="69">
        <v>0.054</v>
      </c>
      <c r="G970" s="102" t="str">
        <f>CONCATENATE(D970," - ",E970,", ")</f>
        <v>All Alumn. Conductor Scrap - 0.054, </v>
      </c>
      <c r="H970" s="1"/>
    </row>
    <row r="971" spans="1:8" ht="15" customHeight="1">
      <c r="A971" s="277"/>
      <c r="B971" s="277"/>
      <c r="C971" s="284"/>
      <c r="D971" s="40" t="s">
        <v>23</v>
      </c>
      <c r="E971" s="69">
        <v>0.01</v>
      </c>
      <c r="G971" s="102" t="str">
        <f>CONCATENATE(D971," - ",E971,", ")</f>
        <v>Brass scrap - 0.01, </v>
      </c>
      <c r="H971" s="1"/>
    </row>
    <row r="972" spans="1:15" ht="15" customHeight="1">
      <c r="A972" s="39"/>
      <c r="B972" s="42"/>
      <c r="C972" s="258"/>
      <c r="D972" s="40"/>
      <c r="E972" s="69"/>
      <c r="F972" s="98"/>
      <c r="G972" s="98"/>
      <c r="H972" s="98"/>
      <c r="I972" s="98"/>
      <c r="J972" s="98"/>
      <c r="K972" s="98"/>
      <c r="L972" s="98"/>
      <c r="M972" s="98"/>
      <c r="N972" s="98"/>
      <c r="O972" s="98"/>
    </row>
    <row r="973" spans="1:15" ht="15" customHeight="1">
      <c r="A973" s="275"/>
      <c r="B973" s="276"/>
      <c r="C973" s="258"/>
      <c r="D973" s="40"/>
      <c r="E973" s="119">
        <f>E975</f>
        <v>0.092</v>
      </c>
      <c r="F973" s="98"/>
      <c r="G973" s="98"/>
      <c r="H973" s="98"/>
      <c r="I973" s="98" t="str">
        <f ca="1">IF(G972&gt;=6,(MID(H973,1,1)&amp;MID(H973,2,4)+1),CELL("address",Z973))</f>
        <v>$Z$973</v>
      </c>
      <c r="J973" s="98" t="str">
        <f ca="1">IF(G972&gt;=7,(MID(I973,1,1)&amp;MID(I973,2,4)+1),CELL("address",AA973))</f>
        <v>$AA$973</v>
      </c>
      <c r="K973" s="98" t="str">
        <f ca="1">IF(G972&gt;=8,(MID(J973,1,1)&amp;MID(J973,2,4)+1),CELL("address",AB973))</f>
        <v>$AB$973</v>
      </c>
      <c r="L973" s="98" t="str">
        <f ca="1">IF(G972&gt;=9,(MID(K973,1,1)&amp;MID(K973,2,4)+1),CELL("address",AC973))</f>
        <v>$AC$973</v>
      </c>
      <c r="M973" s="98" t="str">
        <f ca="1">IF(G972&gt;=10,(MID(L973,1,1)&amp;MID(L973,2,4)+1),CELL("address",AD973))</f>
        <v>$AD$973</v>
      </c>
      <c r="N973" s="98" t="str">
        <f ca="1">IF(G972&gt;=11,(MID(M973,1,1)&amp;MID(M973,2,4)+1),CELL("address",AE973))</f>
        <v>$AE$973</v>
      </c>
      <c r="O973" s="98" t="str">
        <f ca="1">IF(G972&gt;=12,(MID(N973,1,1)&amp;MID(N973,2,4)+1),CELL("address",AF973))</f>
        <v>$AF$973</v>
      </c>
    </row>
    <row r="974" spans="1:18" ht="15" customHeight="1">
      <c r="A974" s="277" t="s">
        <v>5</v>
      </c>
      <c r="B974" s="277"/>
      <c r="C974" s="64" t="s">
        <v>17</v>
      </c>
      <c r="D974" s="65" t="s">
        <v>18</v>
      </c>
      <c r="E974" s="68" t="s">
        <v>7</v>
      </c>
      <c r="G974" s="184" t="str">
        <f>CONCATENATE("Misc. Healthy parts/ Non Ferrous  Scrap, Lying at ",C975,". Quantity in MT - ")</f>
        <v>Misc. Healthy parts/ Non Ferrous  Scrap, Lying at OL store Patran. Quantity in MT - </v>
      </c>
      <c r="H974" s="274" t="str">
        <f ca="1">CONCATENATE(G974,G975,(INDIRECT(I975)),(INDIRECT(J975)),(INDIRECT(K975)),(INDIRECT(L975)),(INDIRECT(M975)),(INDIRECT(N975)),(INDIRECT(O975)),(INDIRECT(P975)),(INDIRECT(Q975)),(INDIRECT(R975)),".")</f>
        <v>Misc. Healthy parts/ Non Ferrous  Scrap, Lying at OL store Patran. Quantity in MT - Misc. Copper scrap - 0.092, .</v>
      </c>
      <c r="I974" s="98" t="str">
        <f aca="true" ca="1" t="array" ref="I974">CELL("address",INDEX(G974:G997,MATCH(TRUE,ISBLANK(G974:G997),0)))</f>
        <v>$G$976</v>
      </c>
      <c r="J974" s="98">
        <f aca="true" t="array" ref="J974">MATCH(TRUE,ISBLANK(G974:G997),0)</f>
        <v>3</v>
      </c>
      <c r="K974" s="98">
        <f>J974-3</f>
        <v>0</v>
      </c>
      <c r="L974" s="98"/>
      <c r="M974" s="98"/>
      <c r="N974" s="98"/>
      <c r="O974" s="98"/>
      <c r="P974" s="98"/>
      <c r="Q974" s="98"/>
      <c r="R974" s="98"/>
    </row>
    <row r="975" spans="1:18" ht="15" customHeight="1">
      <c r="A975" s="277" t="s">
        <v>40</v>
      </c>
      <c r="B975" s="277"/>
      <c r="C975" s="258" t="s">
        <v>101</v>
      </c>
      <c r="D975" s="40" t="s">
        <v>45</v>
      </c>
      <c r="E975" s="69">
        <v>0.092</v>
      </c>
      <c r="G975" s="102" t="str">
        <f>CONCATENATE(D975," - ",E975,", ")</f>
        <v>Misc. Copper scrap - 0.092, </v>
      </c>
      <c r="H975" s="274"/>
      <c r="I975" s="98" t="str">
        <f ca="1">IF(J974&gt;=3,(MID(I974,2,1)&amp;MID(I974,4,4)-K974),CELL("address",Z975))</f>
        <v>G976</v>
      </c>
      <c r="J975" s="98" t="str">
        <f ca="1">IF(J974&gt;=4,(MID(I975,1,1)&amp;MID(I975,2,4)+1),CELL("address",AA975))</f>
        <v>$AA$975</v>
      </c>
      <c r="K975" s="98" t="str">
        <f ca="1">IF(J974&gt;=5,(MID(J975,1,1)&amp;MID(J975,2,4)+1),CELL("address",AB975))</f>
        <v>$AB$975</v>
      </c>
      <c r="L975" s="98" t="str">
        <f ca="1">IF(J974&gt;=6,(MID(K975,1,1)&amp;MID(K975,2,4)+1),CELL("address",AC975))</f>
        <v>$AC$975</v>
      </c>
      <c r="M975" s="98" t="str">
        <f ca="1">IF(J974&gt;=7,(MID(L975,1,1)&amp;MID(L975,2,4)+1),CELL("address",AD975))</f>
        <v>$AD$975</v>
      </c>
      <c r="N975" s="98" t="str">
        <f ca="1">IF(J974&gt;=8,(MID(M975,1,1)&amp;MID(M975,2,4)+1),CELL("address",AE975))</f>
        <v>$AE$975</v>
      </c>
      <c r="O975" s="98" t="str">
        <f ca="1">IF(J974&gt;=9,(MID(N975,1,1)&amp;MID(N975,2,4)+1),CELL("address",AF975))</f>
        <v>$AF$975</v>
      </c>
      <c r="P975" s="98" t="str">
        <f ca="1">IF(J974&gt;=10,(MID(O975,1,1)&amp;MID(O975,2,4)+1),CELL("address",AG975))</f>
        <v>$AG$975</v>
      </c>
      <c r="Q975" s="98" t="str">
        <f ca="1">IF(J974&gt;=11,(MID(P975,1,1)&amp;MID(P975,2,4)+1),CELL("address",AH975))</f>
        <v>$AH$975</v>
      </c>
      <c r="R975" s="98" t="str">
        <f ca="1">IF(J974&gt;=12,(MID(Q975,1,1)&amp;MID(Q975,2,4)+1),CELL("address",AI975))</f>
        <v>$AI$975</v>
      </c>
    </row>
    <row r="976" spans="1:8" ht="15" customHeight="1">
      <c r="A976" s="50"/>
      <c r="B976" s="59"/>
      <c r="C976" s="262"/>
      <c r="D976" s="40"/>
      <c r="E976" s="46"/>
      <c r="H976" s="1"/>
    </row>
    <row r="977" spans="1:8" ht="15" customHeight="1">
      <c r="A977" s="50"/>
      <c r="B977" s="59"/>
      <c r="C977" s="262"/>
      <c r="D977" s="45"/>
      <c r="E977" s="67">
        <f>SUM(E979:E983)</f>
        <v>1.022</v>
      </c>
      <c r="H977" s="1"/>
    </row>
    <row r="978" spans="1:18" ht="15" customHeight="1">
      <c r="A978" s="277" t="s">
        <v>5</v>
      </c>
      <c r="B978" s="277"/>
      <c r="C978" s="64" t="s">
        <v>17</v>
      </c>
      <c r="D978" s="65" t="s">
        <v>18</v>
      </c>
      <c r="E978" s="64" t="s">
        <v>7</v>
      </c>
      <c r="G978" s="184" t="str">
        <f>CONCATENATE("Misc. Healthy parts/ Non Ferrous  Scrap, Lying at ",C979,". Quantity in MT - ")</f>
        <v>Misc. Healthy parts/ Non Ferrous  Scrap, Lying at CS Patiala. Quantity in MT - </v>
      </c>
      <c r="H978" s="274" t="str">
        <f ca="1">CONCATENATE(G978,G979,(INDIRECT(I979)),(INDIRECT(J979)),(INDIRECT(K979)),(INDIRECT(L979)),(INDIRECT(M979)),(INDIRECT(N979)),(INDIRECT(O979)),(INDIRECT(P979)),(INDIRECT(Q979)),(INDIRECT(R979)),".")</f>
        <v>Misc. Healthy parts/ Non Ferrous  Scrap, Lying at CS Patiala. Quantity in MT - Misc. Alumn. Scrap - 0.101, Misc. copper scrap - 0.218, Burnt copper scrap - 0.022, Brass scrap - 0.653, All Alumn. Conductor Scrap - 0.028, .</v>
      </c>
      <c r="I978" s="98" t="str">
        <f aca="true" ca="1" t="array" ref="I978">CELL("address",INDEX(G978:G1001,MATCH(TRUE,ISBLANK(G978:G1001),0)))</f>
        <v>$G$984</v>
      </c>
      <c r="J978" s="98">
        <f aca="true" t="array" ref="J978">MATCH(TRUE,ISBLANK(G978:G1001),0)</f>
        <v>7</v>
      </c>
      <c r="K978" s="98">
        <f>J978-3</f>
        <v>4</v>
      </c>
      <c r="L978" s="98"/>
      <c r="M978" s="98"/>
      <c r="N978" s="98"/>
      <c r="O978" s="98"/>
      <c r="P978" s="98"/>
      <c r="Q978" s="98"/>
      <c r="R978" s="98"/>
    </row>
    <row r="979" spans="1:18" ht="15" customHeight="1">
      <c r="A979" s="277" t="s">
        <v>80</v>
      </c>
      <c r="B979" s="277"/>
      <c r="C979" s="284" t="s">
        <v>52</v>
      </c>
      <c r="D979" s="60" t="s">
        <v>31</v>
      </c>
      <c r="E979" s="47">
        <v>0.101</v>
      </c>
      <c r="F979" s="98"/>
      <c r="G979" s="102" t="str">
        <f>CONCATENATE(D979," - ",E979,", ")</f>
        <v>Misc. Alumn. Scrap - 0.101, </v>
      </c>
      <c r="H979" s="274"/>
      <c r="I979" s="98" t="str">
        <f ca="1">IF(J978&gt;=3,(MID(I978,2,1)&amp;MID(I978,4,4)-K978),CELL("address",Z979))</f>
        <v>G980</v>
      </c>
      <c r="J979" s="98" t="str">
        <f ca="1">IF(J978&gt;=4,(MID(I979,1,1)&amp;MID(I979,2,4)+1),CELL("address",AA979))</f>
        <v>G981</v>
      </c>
      <c r="K979" s="98" t="str">
        <f ca="1">IF(J978&gt;=5,(MID(J979,1,1)&amp;MID(J979,2,4)+1),CELL("address",AB979))</f>
        <v>G982</v>
      </c>
      <c r="L979" s="98" t="str">
        <f ca="1">IF(J978&gt;=6,(MID(K979,1,1)&amp;MID(K979,2,4)+1),CELL("address",AC979))</f>
        <v>G983</v>
      </c>
      <c r="M979" s="98" t="str">
        <f ca="1">IF(J978&gt;=7,(MID(L979,1,1)&amp;MID(L979,2,4)+1),CELL("address",AD979))</f>
        <v>G984</v>
      </c>
      <c r="N979" s="98" t="str">
        <f ca="1">IF(J978&gt;=8,(MID(M979,1,1)&amp;MID(M979,2,4)+1),CELL("address",AE979))</f>
        <v>$AE$979</v>
      </c>
      <c r="O979" s="98" t="str">
        <f ca="1">IF(J978&gt;=9,(MID(N979,1,1)&amp;MID(N979,2,4)+1),CELL("address",AF979))</f>
        <v>$AF$979</v>
      </c>
      <c r="P979" s="98" t="str">
        <f ca="1">IF(J978&gt;=10,(MID(O979,1,1)&amp;MID(O979,2,4)+1),CELL("address",AG979))</f>
        <v>$AG$979</v>
      </c>
      <c r="Q979" s="98" t="str">
        <f ca="1">IF(J978&gt;=11,(MID(P979,1,1)&amp;MID(P979,2,4)+1),CELL("address",AH979))</f>
        <v>$AH$979</v>
      </c>
      <c r="R979" s="98" t="str">
        <f ca="1">IF(J978&gt;=12,(MID(Q979,1,1)&amp;MID(Q979,2,4)+1),CELL("address",AI979))</f>
        <v>$AI$979</v>
      </c>
    </row>
    <row r="980" spans="1:15" ht="15" customHeight="1">
      <c r="A980" s="277"/>
      <c r="B980" s="277"/>
      <c r="C980" s="284"/>
      <c r="D980" s="60" t="s">
        <v>111</v>
      </c>
      <c r="E980" s="64">
        <v>0.218</v>
      </c>
      <c r="F980" s="98"/>
      <c r="G980" s="102" t="str">
        <f>CONCATENATE(D980," - ",E980,", ")</f>
        <v>Misc. copper scrap - 0.218, </v>
      </c>
      <c r="H980" s="98"/>
      <c r="I980" s="98" t="e">
        <f ca="1">IF(G979&gt;=6,(MID(H980,1,1)&amp;MID(H980,2,4)+1),CELL("address",Z980))</f>
        <v>#VALUE!</v>
      </c>
      <c r="J980" s="98" t="e">
        <f ca="1">IF(G979&gt;=7,(MID(I980,1,1)&amp;MID(I980,2,4)+1),CELL("address",AA980))</f>
        <v>#VALUE!</v>
      </c>
      <c r="K980" s="98" t="e">
        <f ca="1">IF(G979&gt;=8,(MID(J980,1,1)&amp;MID(J980,2,4)+1),CELL("address",AB980))</f>
        <v>#VALUE!</v>
      </c>
      <c r="L980" s="98" t="e">
        <f ca="1">IF(G979&gt;=9,(MID(K980,1,1)&amp;MID(K980,2,4)+1),CELL("address",AC980))</f>
        <v>#VALUE!</v>
      </c>
      <c r="M980" s="98" t="e">
        <f ca="1">IF(G979&gt;=10,(MID(L980,1,1)&amp;MID(L980,2,4)+1),CELL("address",AD980))</f>
        <v>#VALUE!</v>
      </c>
      <c r="N980" s="98" t="e">
        <f ca="1">IF(G979&gt;=11,(MID(M980,1,1)&amp;MID(M980,2,4)+1),CELL("address",AE980))</f>
        <v>#VALUE!</v>
      </c>
      <c r="O980" s="98" t="e">
        <f ca="1">IF(G979&gt;=12,(MID(N980,1,1)&amp;MID(N980,2,4)+1),CELL("address",AF980))</f>
        <v>#VALUE!</v>
      </c>
    </row>
    <row r="981" spans="1:8" ht="15" customHeight="1">
      <c r="A981" s="277"/>
      <c r="B981" s="277"/>
      <c r="C981" s="284"/>
      <c r="D981" s="60" t="s">
        <v>47</v>
      </c>
      <c r="E981" s="64">
        <v>0.022</v>
      </c>
      <c r="G981" s="102" t="str">
        <f>CONCATENATE(D981," - ",E981,", ")</f>
        <v>Burnt copper scrap - 0.022, </v>
      </c>
      <c r="H981" s="1"/>
    </row>
    <row r="982" spans="1:8" ht="15" customHeight="1">
      <c r="A982" s="277"/>
      <c r="B982" s="277"/>
      <c r="C982" s="284"/>
      <c r="D982" s="267" t="s">
        <v>23</v>
      </c>
      <c r="E982" s="169">
        <v>0.653</v>
      </c>
      <c r="F982" s="1" t="s">
        <v>320</v>
      </c>
      <c r="G982" s="102" t="str">
        <f>CONCATENATE(D982," - ",E982,", ")</f>
        <v>Brass scrap - 0.653, </v>
      </c>
      <c r="H982" s="1"/>
    </row>
    <row r="983" spans="1:8" ht="15" customHeight="1">
      <c r="A983" s="277"/>
      <c r="B983" s="277"/>
      <c r="C983" s="284"/>
      <c r="D983" s="34" t="s">
        <v>32</v>
      </c>
      <c r="E983" s="169">
        <v>0.028</v>
      </c>
      <c r="F983" s="1" t="s">
        <v>242</v>
      </c>
      <c r="G983" s="239" t="str">
        <f>CONCATENATE(D983," - ",E983,", ")</f>
        <v>All Alumn. Conductor Scrap - 0.028, </v>
      </c>
      <c r="H983" s="1"/>
    </row>
    <row r="984" spans="1:8" ht="15" customHeight="1">
      <c r="A984" s="241"/>
      <c r="B984" s="242"/>
      <c r="C984" s="240"/>
      <c r="D984" s="60"/>
      <c r="E984" s="64"/>
      <c r="H984" s="1"/>
    </row>
    <row r="985" spans="1:8" ht="15" customHeight="1">
      <c r="A985" s="280"/>
      <c r="B985" s="281"/>
      <c r="C985" s="66"/>
      <c r="D985" s="66"/>
      <c r="E985" s="67">
        <f>SUM(E987:E994)</f>
        <v>4.923</v>
      </c>
      <c r="H985" s="1"/>
    </row>
    <row r="986" spans="1:18" ht="15" customHeight="1">
      <c r="A986" s="292" t="s">
        <v>5</v>
      </c>
      <c r="B986" s="293"/>
      <c r="C986" s="64" t="s">
        <v>17</v>
      </c>
      <c r="D986" s="65" t="s">
        <v>18</v>
      </c>
      <c r="E986" s="68" t="s">
        <v>7</v>
      </c>
      <c r="G986" s="184" t="str">
        <f>CONCATENATE("Misc. Healthy parts/ Non Ferrous  Scrap, Lying at ",C987,". Quantity in MT - ")</f>
        <v>Misc. Healthy parts/ Non Ferrous  Scrap, Lying at CS Kotkapura. Quantity in MT - </v>
      </c>
      <c r="H986" s="274" t="str">
        <f ca="1">CONCATENATE(G986,G987,(INDIRECT(I987)),(INDIRECT(J987)),(INDIRECT(K987)),(INDIRECT(L987)),(INDIRECT(M987)),(INDIRECT(N987)),(INDIRECT(O987)),(INDIRECT(P987)),(INDIRECT(Q987)),(INDIRECT(R987)),".")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986" s="98" t="str">
        <f aca="true" ca="1" t="array" ref="I986">CELL("address",INDEX(G986:G1008,MATCH(TRUE,ISBLANK(G986:G1008),0)))</f>
        <v>$G$995</v>
      </c>
      <c r="J986" s="98">
        <f aca="true" t="array" ref="J986">MATCH(TRUE,ISBLANK(G986:G1008),0)</f>
        <v>10</v>
      </c>
      <c r="K986" s="98">
        <f>J986-3</f>
        <v>7</v>
      </c>
      <c r="L986" s="98"/>
      <c r="M986" s="98"/>
      <c r="N986" s="98"/>
      <c r="O986" s="98"/>
      <c r="P986" s="98"/>
      <c r="Q986" s="98"/>
      <c r="R986" s="98"/>
    </row>
    <row r="987" spans="1:18" ht="15" customHeight="1">
      <c r="A987" s="277" t="s">
        <v>696</v>
      </c>
      <c r="B987" s="277"/>
      <c r="C987" s="284" t="s">
        <v>43</v>
      </c>
      <c r="D987" s="40" t="s">
        <v>23</v>
      </c>
      <c r="E987" s="69">
        <v>4.046</v>
      </c>
      <c r="G987" s="102" t="str">
        <f aca="true" t="shared" si="7" ref="G987:G994">CONCATENATE(D987," - ",E987,", ")</f>
        <v>Brass scrap - 4.046, </v>
      </c>
      <c r="H987" s="274"/>
      <c r="I987" s="98" t="str">
        <f ca="1">IF(J986&gt;=3,(MID(I986,2,1)&amp;MID(I986,4,4)-K986),CELL("address",Z987))</f>
        <v>G988</v>
      </c>
      <c r="J987" s="98" t="str">
        <f ca="1">IF(J986&gt;=4,(MID(I987,1,1)&amp;MID(I987,2,4)+1),CELL("address",AA987))</f>
        <v>G989</v>
      </c>
      <c r="K987" s="98" t="str">
        <f ca="1">IF(J986&gt;=5,(MID(J987,1,1)&amp;MID(J987,2,4)+1),CELL("address",AB987))</f>
        <v>G990</v>
      </c>
      <c r="L987" s="98" t="str">
        <f ca="1">IF(J986&gt;=6,(MID(K987,1,1)&amp;MID(K987,2,4)+1),CELL("address",AC987))</f>
        <v>G991</v>
      </c>
      <c r="M987" s="98" t="str">
        <f ca="1">IF(J986&gt;=7,(MID(L987,1,1)&amp;MID(L987,2,4)+1),CELL("address",AD987))</f>
        <v>G992</v>
      </c>
      <c r="N987" s="98" t="str">
        <f ca="1">IF(J986&gt;=8,(MID(M987,1,1)&amp;MID(M987,2,4)+1),CELL("address",AE987))</f>
        <v>G993</v>
      </c>
      <c r="O987" s="98" t="str">
        <f ca="1">IF(J986&gt;=9,(MID(N987,1,1)&amp;MID(N987,2,4)+1),CELL("address",AF987))</f>
        <v>G994</v>
      </c>
      <c r="P987" s="98" t="str">
        <f ca="1">IF(J986&gt;=10,(MID(O987,1,1)&amp;MID(O987,2,4)+1),CELL("address",AG987))</f>
        <v>G995</v>
      </c>
      <c r="Q987" s="98" t="str">
        <f ca="1">IF(J986&gt;=11,(MID(P987,1,1)&amp;MID(P987,2,4)+1),CELL("address",AH987))</f>
        <v>$AH$987</v>
      </c>
      <c r="R987" s="98" t="str">
        <f ca="1">IF(J986&gt;=12,(MID(Q987,1,1)&amp;MID(Q987,2,4)+1),CELL("address",AI987))</f>
        <v>$AI$987</v>
      </c>
    </row>
    <row r="988" spans="1:8" ht="15" customHeight="1">
      <c r="A988" s="277"/>
      <c r="B988" s="277"/>
      <c r="C988" s="284"/>
      <c r="D988" s="40" t="s">
        <v>45</v>
      </c>
      <c r="E988" s="69">
        <v>0.066</v>
      </c>
      <c r="G988" s="102" t="str">
        <f t="shared" si="7"/>
        <v>Misc. Copper scrap - 0.066, </v>
      </c>
      <c r="H988" s="1"/>
    </row>
    <row r="989" spans="1:8" ht="15" customHeight="1">
      <c r="A989" s="277"/>
      <c r="B989" s="277"/>
      <c r="C989" s="284"/>
      <c r="D989" s="39" t="s">
        <v>37</v>
      </c>
      <c r="E989" s="69">
        <v>0.325</v>
      </c>
      <c r="G989" s="102" t="str">
        <f t="shared" si="7"/>
        <v>Burnt Cu scrap - 0.325, </v>
      </c>
      <c r="H989" s="1"/>
    </row>
    <row r="990" spans="1:8" ht="15" customHeight="1">
      <c r="A990" s="277"/>
      <c r="B990" s="277"/>
      <c r="C990" s="284"/>
      <c r="D990" s="40" t="s">
        <v>24</v>
      </c>
      <c r="E990" s="69">
        <v>0.205</v>
      </c>
      <c r="G990" s="102" t="str">
        <f t="shared" si="7"/>
        <v>Misc. Aluminium scrap - 0.205, </v>
      </c>
      <c r="H990" s="1"/>
    </row>
    <row r="991" spans="1:15" ht="15" customHeight="1">
      <c r="A991" s="277"/>
      <c r="B991" s="277"/>
      <c r="C991" s="284"/>
      <c r="D991" s="39" t="s">
        <v>41</v>
      </c>
      <c r="E991" s="69">
        <v>0.055</v>
      </c>
      <c r="F991" s="98"/>
      <c r="G991" s="102" t="str">
        <f t="shared" si="7"/>
        <v>Burnt Aluminium scrap - 0.055, </v>
      </c>
      <c r="H991" s="98"/>
      <c r="I991" s="98"/>
      <c r="J991" s="98"/>
      <c r="K991" s="98"/>
      <c r="L991" s="98"/>
      <c r="M991" s="98"/>
      <c r="N991" s="98"/>
      <c r="O991" s="98"/>
    </row>
    <row r="992" spans="1:15" ht="15" customHeight="1">
      <c r="A992" s="277"/>
      <c r="B992" s="277"/>
      <c r="C992" s="284"/>
      <c r="D992" s="39" t="s">
        <v>390</v>
      </c>
      <c r="E992" s="69">
        <v>0.09</v>
      </c>
      <c r="F992" s="98"/>
      <c r="G992" s="102" t="str">
        <f t="shared" si="7"/>
        <v>All Alum scrap - 0.09, </v>
      </c>
      <c r="H992" s="98"/>
      <c r="I992" s="98" t="e">
        <f ca="1">IF(G991&gt;=6,(MID(H992,1,1)&amp;MID(H992,2,4)+1),CELL("address",Z992))</f>
        <v>#VALUE!</v>
      </c>
      <c r="J992" s="98" t="e">
        <f ca="1">IF(G991&gt;=7,(MID(I992,1,1)&amp;MID(I992,2,4)+1),CELL("address",AA992))</f>
        <v>#VALUE!</v>
      </c>
      <c r="K992" s="98" t="e">
        <f ca="1">IF(G991&gt;=8,(MID(J992,1,1)&amp;MID(J992,2,4)+1),CELL("address",AB992))</f>
        <v>#VALUE!</v>
      </c>
      <c r="L992" s="98" t="e">
        <f ca="1">IF(G991&gt;=9,(MID(K992,1,1)&amp;MID(K992,2,4)+1),CELL("address",AC992))</f>
        <v>#VALUE!</v>
      </c>
      <c r="M992" s="98" t="e">
        <f ca="1">IF(G991&gt;=10,(MID(L992,1,1)&amp;MID(L992,2,4)+1),CELL("address",AD992))</f>
        <v>#VALUE!</v>
      </c>
      <c r="N992" s="98" t="e">
        <f ca="1">IF(G991&gt;=11,(MID(M992,1,1)&amp;MID(M992,2,4)+1),CELL("address",AE992))</f>
        <v>#VALUE!</v>
      </c>
      <c r="O992" s="98" t="e">
        <f ca="1">IF(G991&gt;=12,(MID(N992,1,1)&amp;MID(N992,2,4)+1),CELL("address",AF992))</f>
        <v>#VALUE!</v>
      </c>
    </row>
    <row r="993" spans="1:8" ht="15" customHeight="1">
      <c r="A993" s="277"/>
      <c r="B993" s="277"/>
      <c r="C993" s="284"/>
      <c r="D993" s="39" t="s">
        <v>391</v>
      </c>
      <c r="E993" s="69">
        <v>0.096</v>
      </c>
      <c r="G993" s="102" t="str">
        <f t="shared" si="7"/>
        <v>Alu scrap of damaged T/F accessories - 0.096, </v>
      </c>
      <c r="H993" s="1"/>
    </row>
    <row r="994" spans="1:8" ht="15" customHeight="1">
      <c r="A994" s="277"/>
      <c r="B994" s="277"/>
      <c r="C994" s="284"/>
      <c r="D994" s="39" t="s">
        <v>392</v>
      </c>
      <c r="E994" s="69">
        <v>0.04</v>
      </c>
      <c r="G994" s="102" t="str">
        <f t="shared" si="7"/>
        <v>Copper scrap - 0.04, </v>
      </c>
      <c r="H994" s="1"/>
    </row>
    <row r="995" spans="1:8" ht="15" customHeight="1">
      <c r="A995" s="50"/>
      <c r="B995" s="59"/>
      <c r="C995" s="262"/>
      <c r="D995" s="39"/>
      <c r="E995" s="69"/>
      <c r="H995" s="1"/>
    </row>
    <row r="996" spans="1:15" ht="15" customHeight="1">
      <c r="A996" s="50"/>
      <c r="B996" s="59"/>
      <c r="C996" s="262"/>
      <c r="D996" s="45"/>
      <c r="E996" s="67">
        <f>SUM(E998:E999)</f>
        <v>0.628</v>
      </c>
      <c r="F996" s="98"/>
      <c r="G996" s="98"/>
      <c r="H996" s="98"/>
      <c r="I996" s="98"/>
      <c r="J996" s="98"/>
      <c r="K996" s="98"/>
      <c r="L996" s="98"/>
      <c r="M996" s="98"/>
      <c r="N996" s="98"/>
      <c r="O996" s="98"/>
    </row>
    <row r="997" spans="1:18" ht="15" customHeight="1">
      <c r="A997" s="277" t="s">
        <v>5</v>
      </c>
      <c r="B997" s="277"/>
      <c r="C997" s="64" t="s">
        <v>17</v>
      </c>
      <c r="D997" s="65" t="s">
        <v>18</v>
      </c>
      <c r="E997" s="64" t="s">
        <v>7</v>
      </c>
      <c r="F997" s="98"/>
      <c r="G997" s="184" t="str">
        <f>CONCATENATE("Misc. Healthy parts/ Non Ferrous  Scrap, Lying at ",C998,". Quantity in MT - ")</f>
        <v>Misc. Healthy parts/ Non Ferrous  Scrap, Lying at OL store Malerkotla. Quantity in MT - </v>
      </c>
      <c r="H997" s="274" t="str">
        <f ca="1">CONCATENATE(G997,G998,(INDIRECT(I998)),(INDIRECT(J998)),(INDIRECT(K998)),(INDIRECT(L998)),(INDIRECT(M998)),(INDIRECT(N998)),(INDIRECT(O998)),(INDIRECT(P998)),(INDIRECT(Q998)),(INDIRECT(R998)),".")</f>
        <v>Misc. Healthy parts/ Non Ferrous  Scrap, Lying at OL store Malerkotla. Quantity in MT - Misc. Alumn. Scrap - 0.028, Misc. copper scrap - 0.6, .</v>
      </c>
      <c r="I997" s="98" t="str">
        <f aca="true" ca="1" t="array" ref="I997">CELL("address",INDEX(G997:G1019,MATCH(TRUE,ISBLANK(G997:G1019),0)))</f>
        <v>$G$1000</v>
      </c>
      <c r="J997" s="98">
        <f aca="true" t="array" ref="J997">MATCH(TRUE,ISBLANK(G997:G1019),0)</f>
        <v>4</v>
      </c>
      <c r="K997" s="98">
        <f>J997-3</f>
        <v>1</v>
      </c>
      <c r="L997" s="98"/>
      <c r="M997" s="98"/>
      <c r="N997" s="98"/>
      <c r="O997" s="98"/>
      <c r="P997" s="98"/>
      <c r="Q997" s="98"/>
      <c r="R997" s="98"/>
    </row>
    <row r="998" spans="1:18" ht="15" customHeight="1">
      <c r="A998" s="292" t="s">
        <v>44</v>
      </c>
      <c r="B998" s="293"/>
      <c r="C998" s="298" t="s">
        <v>116</v>
      </c>
      <c r="D998" s="60" t="s">
        <v>31</v>
      </c>
      <c r="E998" s="47">
        <v>0.028</v>
      </c>
      <c r="G998" s="102" t="str">
        <f>CONCATENATE(D998," - ",E998,", ")</f>
        <v>Misc. Alumn. Scrap - 0.028, </v>
      </c>
      <c r="H998" s="274"/>
      <c r="I998" s="98" t="str">
        <f ca="1">IF(J997&gt;=3,(MID(I997,2,1)&amp;MID(I997,4,4)-K997),CELL("address",Z998))</f>
        <v>G999</v>
      </c>
      <c r="J998" s="98" t="str">
        <f ca="1">IF(J997&gt;=4,(MID(I998,1,1)&amp;MID(I998,2,4)+1),CELL("address",AA998))</f>
        <v>G1000</v>
      </c>
      <c r="K998" s="98" t="str">
        <f ca="1">IF(J997&gt;=5,(MID(J998,1,1)&amp;MID(J998,2,4)+1),CELL("address",AB998))</f>
        <v>$AB$998</v>
      </c>
      <c r="L998" s="98" t="str">
        <f ca="1">IF(J997&gt;=6,(MID(K998,1,1)&amp;MID(K998,2,4)+1),CELL("address",AC998))</f>
        <v>$AC$998</v>
      </c>
      <c r="M998" s="98" t="str">
        <f ca="1">IF(J997&gt;=7,(MID(L998,1,1)&amp;MID(L998,2,4)+1),CELL("address",AD998))</f>
        <v>$AD$998</v>
      </c>
      <c r="N998" s="98" t="str">
        <f ca="1">IF(J997&gt;=8,(MID(M998,1,1)&amp;MID(M998,2,4)+1),CELL("address",AE998))</f>
        <v>$AE$998</v>
      </c>
      <c r="O998" s="98" t="str">
        <f ca="1">IF(J997&gt;=9,(MID(N998,1,1)&amp;MID(N998,2,4)+1),CELL("address",AF998))</f>
        <v>$AF$998</v>
      </c>
      <c r="P998" s="98" t="str">
        <f ca="1">IF(J997&gt;=10,(MID(O998,1,1)&amp;MID(O998,2,4)+1),CELL("address",AG998))</f>
        <v>$AG$998</v>
      </c>
      <c r="Q998" s="98" t="str">
        <f ca="1">IF(J997&gt;=11,(MID(P998,1,1)&amp;MID(P998,2,4)+1),CELL("address",AH998))</f>
        <v>$AH$998</v>
      </c>
      <c r="R998" s="98" t="str">
        <f ca="1">IF(J997&gt;=12,(MID(Q998,1,1)&amp;MID(Q998,2,4)+1),CELL("address",AI998))</f>
        <v>$AI$998</v>
      </c>
    </row>
    <row r="999" spans="1:8" ht="15" customHeight="1">
      <c r="A999" s="301"/>
      <c r="B999" s="302"/>
      <c r="C999" s="305"/>
      <c r="D999" s="60" t="s">
        <v>111</v>
      </c>
      <c r="E999" s="64">
        <v>0.6</v>
      </c>
      <c r="G999" s="102" t="str">
        <f>CONCATENATE(D999," - ",E999,", ")</f>
        <v>Misc. copper scrap - 0.6, </v>
      </c>
      <c r="H999" s="1"/>
    </row>
    <row r="1000" spans="1:8" ht="15" customHeight="1">
      <c r="A1000" s="275"/>
      <c r="B1000" s="276"/>
      <c r="C1000" s="258"/>
      <c r="D1000" s="60"/>
      <c r="E1000" s="64"/>
      <c r="H1000" s="1"/>
    </row>
    <row r="1001" spans="1:15" ht="15" customHeight="1">
      <c r="A1001" s="280"/>
      <c r="B1001" s="281"/>
      <c r="C1001" s="66"/>
      <c r="D1001" s="66"/>
      <c r="E1001" s="67">
        <f>SUM(E1003:E1004)</f>
        <v>0.067</v>
      </c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</row>
    <row r="1002" spans="1:18" ht="15" customHeight="1">
      <c r="A1002" s="277" t="s">
        <v>5</v>
      </c>
      <c r="B1002" s="277"/>
      <c r="C1002" s="64" t="s">
        <v>17</v>
      </c>
      <c r="D1002" s="65" t="s">
        <v>18</v>
      </c>
      <c r="E1002" s="64" t="s">
        <v>7</v>
      </c>
      <c r="F1002" s="98"/>
      <c r="G1002" s="184" t="str">
        <f>CONCATENATE("Misc. Healthy parts/ Non Ferrous  Scrap, Lying at ",C1003,". Quantity in MT - ")</f>
        <v>Misc. Healthy parts/ Non Ferrous  Scrap, Lying at TRY Malerkotla. Quantity in MT - </v>
      </c>
      <c r="H1002" s="274" t="str">
        <f ca="1">CONCATENATE(G1002,G1003,(INDIRECT(I1003)),(INDIRECT(J1003)),(INDIRECT(K1003)),(INDIRECT(L1003)),(INDIRECT(M1003)),(INDIRECT(N1003)),(INDIRECT(O1003)),(INDIRECT(P1003)),(INDIRECT(Q1003)),(INDIRECT(R1003)),".")</f>
        <v>Misc. Healthy parts/ Non Ferrous  Scrap, Lying at TRY Malerkotla. Quantity in MT - Brass scrap - 0.062, Misc. Alumn. Scrap - 0.005, .</v>
      </c>
      <c r="I1002" s="98" t="str">
        <f aca="true" ca="1" t="array" ref="I1002">CELL("address",INDEX(G1002:G1024,MATCH(TRUE,ISBLANK(G1002:G1024),0)))</f>
        <v>$G$1005</v>
      </c>
      <c r="J1002" s="98">
        <f aca="true" t="array" ref="J1002">MATCH(TRUE,ISBLANK(G1002:G1024),0)</f>
        <v>4</v>
      </c>
      <c r="K1002" s="98">
        <f>J1002-3</f>
        <v>1</v>
      </c>
      <c r="L1002" s="98"/>
      <c r="M1002" s="98"/>
      <c r="N1002" s="98"/>
      <c r="O1002" s="98"/>
      <c r="P1002" s="98"/>
      <c r="Q1002" s="98"/>
      <c r="R1002" s="98"/>
    </row>
    <row r="1003" spans="1:18" ht="15" customHeight="1">
      <c r="A1003" s="277" t="s">
        <v>53</v>
      </c>
      <c r="B1003" s="277"/>
      <c r="C1003" s="284" t="s">
        <v>28</v>
      </c>
      <c r="D1003" s="45" t="s">
        <v>23</v>
      </c>
      <c r="E1003" s="45">
        <v>0.062</v>
      </c>
      <c r="G1003" s="102" t="str">
        <f>CONCATENATE(D1003," - ",E1003,", ")</f>
        <v>Brass scrap - 0.062, </v>
      </c>
      <c r="H1003" s="274"/>
      <c r="I1003" s="98" t="str">
        <f ca="1">IF(J1002&gt;=3,(MID(I1002,2,1)&amp;MID(I1002,4,4)-K1002),CELL("address",Z1003))</f>
        <v>G1004</v>
      </c>
      <c r="J1003" s="98" t="str">
        <f ca="1">IF(J1002&gt;=4,(MID(I1003,1,1)&amp;MID(I1003,2,4)+1),CELL("address",AA1003))</f>
        <v>G1005</v>
      </c>
      <c r="K1003" s="98" t="str">
        <f ca="1">IF(J1002&gt;=5,(MID(J1003,1,1)&amp;MID(J1003,2,4)+1),CELL("address",AB1003))</f>
        <v>$AB$1003</v>
      </c>
      <c r="L1003" s="98" t="str">
        <f ca="1">IF(J1002&gt;=6,(MID(K1003,1,1)&amp;MID(K1003,2,4)+1),CELL("address",AC1003))</f>
        <v>$AC$1003</v>
      </c>
      <c r="M1003" s="98" t="str">
        <f ca="1">IF(J1002&gt;=7,(MID(L1003,1,1)&amp;MID(L1003,2,4)+1),CELL("address",AD1003))</f>
        <v>$AD$1003</v>
      </c>
      <c r="N1003" s="98" t="str">
        <f ca="1">IF(J1002&gt;=8,(MID(M1003,1,1)&amp;MID(M1003,2,4)+1),CELL("address",AE1003))</f>
        <v>$AE$1003</v>
      </c>
      <c r="O1003" s="98" t="str">
        <f ca="1">IF(J1002&gt;=9,(MID(N1003,1,1)&amp;MID(N1003,2,4)+1),CELL("address",AF1003))</f>
        <v>$AF$1003</v>
      </c>
      <c r="P1003" s="98" t="str">
        <f ca="1">IF(J1002&gt;=10,(MID(O1003,1,1)&amp;MID(O1003,2,4)+1),CELL("address",AG1003))</f>
        <v>$AG$1003</v>
      </c>
      <c r="Q1003" s="98" t="str">
        <f ca="1">IF(J1002&gt;=11,(MID(P1003,1,1)&amp;MID(P1003,2,4)+1),CELL("address",AH1003))</f>
        <v>$AH$1003</v>
      </c>
      <c r="R1003" s="98" t="str">
        <f ca="1">IF(J1002&gt;=12,(MID(Q1003,1,1)&amp;MID(Q1003,2,4)+1),CELL("address",AI1003))</f>
        <v>$AI$1003</v>
      </c>
    </row>
    <row r="1004" spans="1:8" ht="15" customHeight="1">
      <c r="A1004" s="277"/>
      <c r="B1004" s="277"/>
      <c r="C1004" s="284"/>
      <c r="D1004" s="45" t="s">
        <v>31</v>
      </c>
      <c r="E1004" s="64">
        <v>0.005</v>
      </c>
      <c r="G1004" s="102" t="str">
        <f>CONCATENATE(D1004," - ",E1004,", ")</f>
        <v>Misc. Alumn. Scrap - 0.005, </v>
      </c>
      <c r="H1004" s="1"/>
    </row>
    <row r="1005" spans="1:8" ht="15" customHeight="1">
      <c r="A1005" s="275"/>
      <c r="B1005" s="276"/>
      <c r="C1005" s="258"/>
      <c r="D1005" s="45"/>
      <c r="E1005" s="64"/>
      <c r="H1005" s="1"/>
    </row>
    <row r="1006" spans="1:8" ht="15" customHeight="1">
      <c r="A1006" s="280"/>
      <c r="B1006" s="281"/>
      <c r="C1006" s="66"/>
      <c r="D1006" s="66"/>
      <c r="E1006" s="67">
        <f>SUM(E1008:E1012)</f>
        <v>1.432</v>
      </c>
      <c r="H1006" s="1"/>
    </row>
    <row r="1007" spans="1:18" ht="15" customHeight="1">
      <c r="A1007" s="275" t="s">
        <v>5</v>
      </c>
      <c r="B1007" s="276"/>
      <c r="C1007" s="64" t="s">
        <v>17</v>
      </c>
      <c r="D1007" s="65" t="s">
        <v>18</v>
      </c>
      <c r="E1007" s="64" t="s">
        <v>7</v>
      </c>
      <c r="G1007" s="184" t="str">
        <f>CONCATENATE("Misc. Healthy parts/ Non Ferrous  Scrap, Lying at ",C1008,". Quantity in MT - ")</f>
        <v>Misc. Healthy parts/ Non Ferrous  Scrap, Lying at TRY Patran. Quantity in MT - </v>
      </c>
      <c r="H1007" s="274" t="str">
        <f ca="1">CONCATENATE(G1007,G1008,(INDIRECT(I1008)),(INDIRECT(J1008)),(INDIRECT(K1008)),(INDIRECT(L1008)),(INDIRECT(M1008)),(INDIRECT(N1008)),(INDIRECT(O1008)),(INDIRECT(P1008)),(INDIRECT(Q1008)),(INDIRECT(R1008)),".")</f>
        <v>Misc. Healthy parts/ Non Ferrous  Scrap, Lying at TRY Patran. Quantity in MT - Brass scrap - 0.642, Misc. Aluminium scrap - 0.071, Burnt Cu scrap - 0.028, Ms Nuts &amp; Bolts - 0.6, Iron scrap - 0.091, .</v>
      </c>
      <c r="I1007" s="98" t="str">
        <f aca="true" ca="1" t="array" ref="I1007">CELL("address",INDEX(G1007:G1029,MATCH(TRUE,ISBLANK(G1007:G1029),0)))</f>
        <v>$G$1013</v>
      </c>
      <c r="J1007" s="98">
        <f aca="true" t="array" ref="J1007">MATCH(TRUE,ISBLANK(G1007:G1029),0)</f>
        <v>7</v>
      </c>
      <c r="K1007" s="98">
        <f>J1007-3</f>
        <v>4</v>
      </c>
      <c r="L1007" s="98"/>
      <c r="M1007" s="98"/>
      <c r="N1007" s="98"/>
      <c r="O1007" s="98"/>
      <c r="P1007" s="98"/>
      <c r="Q1007" s="98"/>
      <c r="R1007" s="98"/>
    </row>
    <row r="1008" spans="1:18" ht="15" customHeight="1">
      <c r="A1008" s="277" t="s">
        <v>115</v>
      </c>
      <c r="B1008" s="277"/>
      <c r="C1008" s="298" t="s">
        <v>136</v>
      </c>
      <c r="D1008" s="40" t="s">
        <v>23</v>
      </c>
      <c r="E1008" s="46">
        <v>0.642</v>
      </c>
      <c r="G1008" s="102" t="str">
        <f>CONCATENATE(D1008," - ",E1008,", ")</f>
        <v>Brass scrap - 0.642, </v>
      </c>
      <c r="H1008" s="274"/>
      <c r="I1008" s="98" t="str">
        <f ca="1">IF(J1007&gt;=3,(MID(I1007,2,1)&amp;MID(I1007,4,4)-K1007),CELL("address",Z1008))</f>
        <v>G1009</v>
      </c>
      <c r="J1008" s="98" t="str">
        <f ca="1">IF(J1007&gt;=4,(MID(I1008,1,1)&amp;MID(I1008,2,4)+1),CELL("address",AA1008))</f>
        <v>G1010</v>
      </c>
      <c r="K1008" s="98" t="str">
        <f ca="1">IF(J1007&gt;=5,(MID(J1008,1,1)&amp;MID(J1008,2,4)+1),CELL("address",AB1008))</f>
        <v>G1011</v>
      </c>
      <c r="L1008" s="98" t="str">
        <f ca="1">IF(J1007&gt;=6,(MID(K1008,1,1)&amp;MID(K1008,2,4)+1),CELL("address",AC1008))</f>
        <v>G1012</v>
      </c>
      <c r="M1008" s="98" t="str">
        <f ca="1">IF(J1007&gt;=7,(MID(L1008,1,1)&amp;MID(L1008,2,4)+1),CELL("address",AD1008))</f>
        <v>G1013</v>
      </c>
      <c r="N1008" s="98" t="str">
        <f ca="1">IF(J1007&gt;=8,(MID(M1008,1,1)&amp;MID(M1008,2,4)+1),CELL("address",AE1008))</f>
        <v>$AE$1008</v>
      </c>
      <c r="O1008" s="98" t="str">
        <f ca="1">IF(J1007&gt;=9,(MID(N1008,1,1)&amp;MID(N1008,2,4)+1),CELL("address",AF1008))</f>
        <v>$AF$1008</v>
      </c>
      <c r="P1008" s="98" t="str">
        <f ca="1">IF(J1007&gt;=10,(MID(O1008,1,1)&amp;MID(O1008,2,4)+1),CELL("address",AG1008))</f>
        <v>$AG$1008</v>
      </c>
      <c r="Q1008" s="98" t="str">
        <f ca="1">IF(J1007&gt;=11,(MID(P1008,1,1)&amp;MID(P1008,2,4)+1),CELL("address",AH1008))</f>
        <v>$AH$1008</v>
      </c>
      <c r="R1008" s="98" t="str">
        <f ca="1">IF(J1007&gt;=12,(MID(Q1008,1,1)&amp;MID(Q1008,2,4)+1),CELL("address",AI1008))</f>
        <v>$AI$1008</v>
      </c>
    </row>
    <row r="1009" spans="1:15" ht="15" customHeight="1">
      <c r="A1009" s="277"/>
      <c r="B1009" s="277"/>
      <c r="C1009" s="299"/>
      <c r="D1009" s="40" t="s">
        <v>24</v>
      </c>
      <c r="E1009" s="46">
        <v>0.071</v>
      </c>
      <c r="F1009" s="98"/>
      <c r="G1009" s="102" t="str">
        <f>CONCATENATE(D1009," - ",E1009,", ")</f>
        <v>Misc. Aluminium scrap - 0.071, </v>
      </c>
      <c r="H1009" s="98"/>
      <c r="I1009" s="98"/>
      <c r="J1009" s="98"/>
      <c r="K1009" s="98"/>
      <c r="L1009" s="98"/>
      <c r="M1009" s="98"/>
      <c r="N1009" s="98"/>
      <c r="O1009" s="98"/>
    </row>
    <row r="1010" spans="1:15" ht="15" customHeight="1">
      <c r="A1010" s="277"/>
      <c r="B1010" s="277"/>
      <c r="C1010" s="299"/>
      <c r="D1010" s="40" t="s">
        <v>37</v>
      </c>
      <c r="E1010" s="46">
        <v>0.028</v>
      </c>
      <c r="F1010" s="98"/>
      <c r="G1010" s="102" t="str">
        <f>CONCATENATE(D1010," - ",E1010,", ")</f>
        <v>Burnt Cu scrap - 0.028, </v>
      </c>
      <c r="H1010" s="98"/>
      <c r="I1010" s="98" t="e">
        <f ca="1">IF(G1009&gt;=6,(MID(H1010,1,1)&amp;MID(H1010,2,4)+1),CELL("address",Z1010))</f>
        <v>#VALUE!</v>
      </c>
      <c r="J1010" s="98" t="e">
        <f ca="1">IF(G1009&gt;=7,(MID(I1010,1,1)&amp;MID(I1010,2,4)+1),CELL("address",AA1010))</f>
        <v>#VALUE!</v>
      </c>
      <c r="K1010" s="98" t="e">
        <f ca="1">IF(G1009&gt;=8,(MID(J1010,1,1)&amp;MID(J1010,2,4)+1),CELL("address",AB1010))</f>
        <v>#VALUE!</v>
      </c>
      <c r="L1010" s="98" t="e">
        <f ca="1">IF(G1009&gt;=9,(MID(K1010,1,1)&amp;MID(K1010,2,4)+1),CELL("address",AC1010))</f>
        <v>#VALUE!</v>
      </c>
      <c r="M1010" s="98" t="e">
        <f ca="1">IF(G1009&gt;=10,(MID(L1010,1,1)&amp;MID(L1010,2,4)+1),CELL("address",AD1010))</f>
        <v>#VALUE!</v>
      </c>
      <c r="N1010" s="98" t="e">
        <f ca="1">IF(G1009&gt;=11,(MID(M1010,1,1)&amp;MID(M1010,2,4)+1),CELL("address",AE1010))</f>
        <v>#VALUE!</v>
      </c>
      <c r="O1010" s="98" t="e">
        <f ca="1">IF(G1009&gt;=12,(MID(N1010,1,1)&amp;MID(N1010,2,4)+1),CELL("address",AF1010))</f>
        <v>#VALUE!</v>
      </c>
    </row>
    <row r="1011" spans="1:8" ht="15" customHeight="1">
      <c r="A1011" s="277"/>
      <c r="B1011" s="277"/>
      <c r="C1011" s="299"/>
      <c r="D1011" s="45" t="s">
        <v>147</v>
      </c>
      <c r="E1011" s="46">
        <v>0.6</v>
      </c>
      <c r="G1011" s="102" t="str">
        <f>CONCATENATE(D1011," - ",E1011,", ")</f>
        <v>Ms Nuts &amp; Bolts - 0.6, </v>
      </c>
      <c r="H1011" s="1"/>
    </row>
    <row r="1012" spans="1:8" ht="15" customHeight="1">
      <c r="A1012" s="277"/>
      <c r="B1012" s="277"/>
      <c r="C1012" s="305"/>
      <c r="D1012" s="40" t="s">
        <v>27</v>
      </c>
      <c r="E1012" s="46">
        <v>0.091</v>
      </c>
      <c r="G1012" s="102" t="str">
        <f>CONCATENATE(D1012," - ",E1012,", ")</f>
        <v>Iron scrap - 0.091, </v>
      </c>
      <c r="H1012" s="1"/>
    </row>
    <row r="1013" spans="1:8" ht="15" customHeight="1">
      <c r="A1013" s="50"/>
      <c r="B1013" s="59"/>
      <c r="C1013" s="262"/>
      <c r="D1013" s="45"/>
      <c r="E1013" s="46"/>
      <c r="H1013" s="1"/>
    </row>
    <row r="1014" spans="1:15" ht="15" customHeight="1">
      <c r="A1014" s="280"/>
      <c r="B1014" s="281"/>
      <c r="C1014" s="66"/>
      <c r="D1014" s="66"/>
      <c r="E1014" s="67">
        <f>SUM(E1016:E1017)</f>
        <v>0.8340000000000001</v>
      </c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</row>
    <row r="1015" spans="1:18" ht="15" customHeight="1">
      <c r="A1015" s="277" t="s">
        <v>5</v>
      </c>
      <c r="B1015" s="277"/>
      <c r="C1015" s="64" t="s">
        <v>17</v>
      </c>
      <c r="D1015" s="65" t="s">
        <v>18</v>
      </c>
      <c r="E1015" s="64" t="s">
        <v>7</v>
      </c>
      <c r="F1015" s="98"/>
      <c r="G1015" s="184" t="str">
        <f>CONCATENATE("Misc. Healthy parts/ Non Ferrous  Scrap, Lying at ",C1016,". Quantity in MT - ")</f>
        <v>Misc. Healthy parts/ Non Ferrous  Scrap, Lying at TRY Patran. Quantity in MT - </v>
      </c>
      <c r="H1015" s="274" t="str">
        <f ca="1">CONCATENATE(G1015,G1016,(INDIRECT(I1016)),(INDIRECT(J1016)),(INDIRECT(K1016)),(INDIRECT(L1016)),(INDIRECT(M1016)),(INDIRECT(N1016)),(INDIRECT(O1016)),(INDIRECT(P1016)),(INDIRECT(Q1016)),(INDIRECT(R1016)),".")</f>
        <v>Misc. Healthy parts/ Non Ferrous  Scrap, Lying at TRY Patran. Quantity in MT - Brass scrap - 0.783, Misc. Alumn. Scrap - 0.051, .</v>
      </c>
      <c r="I1015" s="98" t="str">
        <f aca="true" ca="1" t="array" ref="I1015">CELL("address",INDEX(G1015:G1037,MATCH(TRUE,ISBLANK(G1015:G1037),0)))</f>
        <v>$G$1018</v>
      </c>
      <c r="J1015" s="98">
        <f aca="true" t="array" ref="J1015">MATCH(TRUE,ISBLANK(G1015:G1037),0)</f>
        <v>4</v>
      </c>
      <c r="K1015" s="98">
        <f>J1015-3</f>
        <v>1</v>
      </c>
      <c r="L1015" s="98"/>
      <c r="M1015" s="98"/>
      <c r="N1015" s="98"/>
      <c r="O1015" s="98"/>
      <c r="P1015" s="98"/>
      <c r="Q1015" s="98"/>
      <c r="R1015" s="98"/>
    </row>
    <row r="1016" spans="1:18" ht="15" customHeight="1">
      <c r="A1016" s="277" t="s">
        <v>117</v>
      </c>
      <c r="B1016" s="277"/>
      <c r="C1016" s="284" t="s">
        <v>136</v>
      </c>
      <c r="D1016" s="45" t="s">
        <v>23</v>
      </c>
      <c r="E1016" s="45">
        <v>0.783</v>
      </c>
      <c r="G1016" s="102" t="str">
        <f>CONCATENATE(D1016," - ",E1016,", ")</f>
        <v>Brass scrap - 0.783, </v>
      </c>
      <c r="H1016" s="274"/>
      <c r="I1016" s="98" t="str">
        <f ca="1">IF(J1015&gt;=3,(MID(I1015,2,1)&amp;MID(I1015,4,4)-K1015),CELL("address",Z1016))</f>
        <v>G1017</v>
      </c>
      <c r="J1016" s="98" t="str">
        <f ca="1">IF(J1015&gt;=4,(MID(I1016,1,1)&amp;MID(I1016,2,4)+1),CELL("address",AA1016))</f>
        <v>G1018</v>
      </c>
      <c r="K1016" s="98" t="str">
        <f ca="1">IF(J1015&gt;=5,(MID(J1016,1,1)&amp;MID(J1016,2,4)+1),CELL("address",AB1016))</f>
        <v>$AB$1016</v>
      </c>
      <c r="L1016" s="98" t="str">
        <f ca="1">IF(J1015&gt;=6,(MID(K1016,1,1)&amp;MID(K1016,2,4)+1),CELL("address",AC1016))</f>
        <v>$AC$1016</v>
      </c>
      <c r="M1016" s="98" t="str">
        <f ca="1">IF(J1015&gt;=7,(MID(L1016,1,1)&amp;MID(L1016,2,4)+1),CELL("address",AD1016))</f>
        <v>$AD$1016</v>
      </c>
      <c r="N1016" s="98" t="str">
        <f ca="1">IF(J1015&gt;=8,(MID(M1016,1,1)&amp;MID(M1016,2,4)+1),CELL("address",AE1016))</f>
        <v>$AE$1016</v>
      </c>
      <c r="O1016" s="98" t="str">
        <f ca="1">IF(J1015&gt;=9,(MID(N1016,1,1)&amp;MID(N1016,2,4)+1),CELL("address",AF1016))</f>
        <v>$AF$1016</v>
      </c>
      <c r="P1016" s="98" t="str">
        <f ca="1">IF(J1015&gt;=10,(MID(O1016,1,1)&amp;MID(O1016,2,4)+1),CELL("address",AG1016))</f>
        <v>$AG$1016</v>
      </c>
      <c r="Q1016" s="98" t="str">
        <f ca="1">IF(J1015&gt;=11,(MID(P1016,1,1)&amp;MID(P1016,2,4)+1),CELL("address",AH1016))</f>
        <v>$AH$1016</v>
      </c>
      <c r="R1016" s="98" t="str">
        <f ca="1">IF(J1015&gt;=12,(MID(Q1016,1,1)&amp;MID(Q1016,2,4)+1),CELL("address",AI1016))</f>
        <v>$AI$1016</v>
      </c>
    </row>
    <row r="1017" spans="1:8" ht="15" customHeight="1">
      <c r="A1017" s="277"/>
      <c r="B1017" s="277"/>
      <c r="C1017" s="284"/>
      <c r="D1017" s="45" t="s">
        <v>31</v>
      </c>
      <c r="E1017" s="64">
        <v>0.051</v>
      </c>
      <c r="G1017" s="102" t="str">
        <f>CONCATENATE(D1017," - ",E1017,", ")</f>
        <v>Misc. Alumn. Scrap - 0.051, </v>
      </c>
      <c r="H1017" s="1"/>
    </row>
    <row r="1018" spans="1:8" ht="15" customHeight="1">
      <c r="A1018" s="35"/>
      <c r="H1018" s="1"/>
    </row>
    <row r="1019" spans="1:15" ht="15" customHeight="1">
      <c r="A1019" s="280"/>
      <c r="B1019" s="281"/>
      <c r="C1019" s="66"/>
      <c r="D1019" s="66"/>
      <c r="E1019" s="67">
        <f>SUM(E1021:E1022)</f>
        <v>2.17</v>
      </c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</row>
    <row r="1020" spans="1:18" ht="15" customHeight="1">
      <c r="A1020" s="277" t="s">
        <v>5</v>
      </c>
      <c r="B1020" s="277"/>
      <c r="C1020" s="64" t="s">
        <v>17</v>
      </c>
      <c r="D1020" s="65" t="s">
        <v>18</v>
      </c>
      <c r="E1020" s="64" t="s">
        <v>7</v>
      </c>
      <c r="F1020" s="98"/>
      <c r="G1020" s="184" t="str">
        <f>CONCATENATE("Misc. Healthy parts/ Non Ferrous  Scrap, Lying at ",C1021,". Quantity in MT - ")</f>
        <v>Misc. Healthy parts/ Non Ferrous  Scrap, Lying at TRY Ropar. Quantity in MT - </v>
      </c>
      <c r="H1020" s="274" t="str">
        <f ca="1">CONCATENATE(G1020,G1021,(INDIRECT(I1021)),(INDIRECT(J1021)),(INDIRECT(K1021)),(INDIRECT(L1021)),(INDIRECT(M1021)),(INDIRECT(N1021)),(INDIRECT(O1021)),(INDIRECT(P1021)),(INDIRECT(Q1021)),(INDIRECT(R1021)),".")</f>
        <v>Misc. Healthy parts/ Non Ferrous  Scrap, Lying at TRY Ropar. Quantity in MT - Brass scrap - 2.007, Misc. Alumn. Scrap - 0.163, .</v>
      </c>
      <c r="I1020" s="98" t="str">
        <f aca="true" ca="1" t="array" ref="I1020">CELL("address",INDEX(G1020:G1042,MATCH(TRUE,ISBLANK(G1020:G1042),0)))</f>
        <v>$G$1023</v>
      </c>
      <c r="J1020" s="98">
        <f aca="true" t="array" ref="J1020">MATCH(TRUE,ISBLANK(G1020:G1042),0)</f>
        <v>4</v>
      </c>
      <c r="K1020" s="98">
        <f>J1020-3</f>
        <v>1</v>
      </c>
      <c r="L1020" s="98"/>
      <c r="M1020" s="98"/>
      <c r="N1020" s="98"/>
      <c r="O1020" s="98"/>
      <c r="P1020" s="98"/>
      <c r="Q1020" s="98"/>
      <c r="R1020" s="98"/>
    </row>
    <row r="1021" spans="1:18" ht="15" customHeight="1">
      <c r="A1021" s="277" t="s">
        <v>118</v>
      </c>
      <c r="B1021" s="277"/>
      <c r="C1021" s="284" t="s">
        <v>143</v>
      </c>
      <c r="D1021" s="45" t="s">
        <v>23</v>
      </c>
      <c r="E1021" s="45">
        <v>2.007</v>
      </c>
      <c r="G1021" s="102" t="str">
        <f>CONCATENATE(D1021," - ",E1021,", ")</f>
        <v>Brass scrap - 2.007, </v>
      </c>
      <c r="H1021" s="274"/>
      <c r="I1021" s="98" t="str">
        <f ca="1">IF(J1020&gt;=3,(MID(I1020,2,1)&amp;MID(I1020,4,4)-K1020),CELL("address",Z1021))</f>
        <v>G1022</v>
      </c>
      <c r="J1021" s="98" t="str">
        <f ca="1">IF(J1020&gt;=4,(MID(I1021,1,1)&amp;MID(I1021,2,4)+1),CELL("address",AA1021))</f>
        <v>G1023</v>
      </c>
      <c r="K1021" s="98" t="str">
        <f ca="1">IF(J1020&gt;=5,(MID(J1021,1,1)&amp;MID(J1021,2,4)+1),CELL("address",AB1021))</f>
        <v>$AB$1021</v>
      </c>
      <c r="L1021" s="98" t="str">
        <f ca="1">IF(J1020&gt;=6,(MID(K1021,1,1)&amp;MID(K1021,2,4)+1),CELL("address",AC1021))</f>
        <v>$AC$1021</v>
      </c>
      <c r="M1021" s="98" t="str">
        <f ca="1">IF(J1020&gt;=7,(MID(L1021,1,1)&amp;MID(L1021,2,4)+1),CELL("address",AD1021))</f>
        <v>$AD$1021</v>
      </c>
      <c r="N1021" s="98" t="str">
        <f ca="1">IF(J1020&gt;=8,(MID(M1021,1,1)&amp;MID(M1021,2,4)+1),CELL("address",AE1021))</f>
        <v>$AE$1021</v>
      </c>
      <c r="O1021" s="98" t="str">
        <f ca="1">IF(J1020&gt;=9,(MID(N1021,1,1)&amp;MID(N1021,2,4)+1),CELL("address",AF1021))</f>
        <v>$AF$1021</v>
      </c>
      <c r="P1021" s="98" t="str">
        <f ca="1">IF(J1020&gt;=10,(MID(O1021,1,1)&amp;MID(O1021,2,4)+1),CELL("address",AG1021))</f>
        <v>$AG$1021</v>
      </c>
      <c r="Q1021" s="98" t="str">
        <f ca="1">IF(J1020&gt;=11,(MID(P1021,1,1)&amp;MID(P1021,2,4)+1),CELL("address",AH1021))</f>
        <v>$AH$1021</v>
      </c>
      <c r="R1021" s="98" t="str">
        <f ca="1">IF(J1020&gt;=12,(MID(Q1021,1,1)&amp;MID(Q1021,2,4)+1),CELL("address",AI1021))</f>
        <v>$AI$1021</v>
      </c>
    </row>
    <row r="1022" spans="1:8" ht="15" customHeight="1">
      <c r="A1022" s="277"/>
      <c r="B1022" s="277"/>
      <c r="C1022" s="284"/>
      <c r="D1022" s="45" t="s">
        <v>31</v>
      </c>
      <c r="E1022" s="64">
        <v>0.163</v>
      </c>
      <c r="G1022" s="102" t="str">
        <f>CONCATENATE(D1022," - ",E1022,", ")</f>
        <v>Misc. Alumn. Scrap - 0.163, </v>
      </c>
      <c r="H1022" s="1"/>
    </row>
    <row r="1023" spans="1:8" ht="15" customHeight="1">
      <c r="A1023" s="51"/>
      <c r="B1023" s="54"/>
      <c r="C1023" s="19"/>
      <c r="D1023" s="83"/>
      <c r="E1023" s="82"/>
      <c r="H1023" s="1"/>
    </row>
    <row r="1024" spans="1:8" ht="15" customHeight="1">
      <c r="A1024" s="280"/>
      <c r="B1024" s="281"/>
      <c r="C1024" s="66"/>
      <c r="D1024" s="66"/>
      <c r="E1024" s="67">
        <f>SUM(E1026:E1031)</f>
        <v>1.9550000000000003</v>
      </c>
      <c r="H1024" s="1"/>
    </row>
    <row r="1025" spans="1:18" ht="15" customHeight="1">
      <c r="A1025" s="277" t="s">
        <v>5</v>
      </c>
      <c r="B1025" s="277"/>
      <c r="C1025" s="64" t="s">
        <v>17</v>
      </c>
      <c r="D1025" s="65" t="s">
        <v>18</v>
      </c>
      <c r="E1025" s="64" t="s">
        <v>7</v>
      </c>
      <c r="G1025" s="184" t="str">
        <f>CONCATENATE("Misc. Healthy parts/ Non Ferrous  Scrap, Lying at ",C1026,". Quantity in MT - ")</f>
        <v>Misc. Healthy parts/ Non Ferrous  Scrap, Lying at TRY Patiala. Quantity in MT - </v>
      </c>
      <c r="H1025" s="274" t="str">
        <f ca="1">CONCATENATE(G1025,G1026,(INDIRECT(I1026)),(INDIRECT(J1026)),(INDIRECT(K1026)),(INDIRECT(L1026)),(INDIRECT(M1026)),(INDIRECT(N1026)),(INDIRECT(O1026)),(INDIRECT(P1026)),(INDIRECT(Q1026)),(INDIRECT(R1026)),".")</f>
        <v>Misc. Healthy parts/ Non Ferrous  Scrap, Lying at TRY Patiala. Quantity in MT - Brass scrap - 0.767, Misc. Alumn. Scrap - 0.069, Burnt Cu scrap - 0.055, Nuts &amp; Bolts scrap - 0.87, Teen Patra scrap - 0.136, M.S Iron scrap - 0.058, .</v>
      </c>
      <c r="I1025" s="98" t="str">
        <f aca="true" ca="1" t="array" ref="I1025">CELL("address",INDEX(G1025:G1047,MATCH(TRUE,ISBLANK(G1025:G1047),0)))</f>
        <v>$G$1032</v>
      </c>
      <c r="J1025" s="98">
        <f aca="true" t="array" ref="J1025">MATCH(TRUE,ISBLANK(G1025:G1047),0)</f>
        <v>8</v>
      </c>
      <c r="K1025" s="98">
        <f>J1025-3</f>
        <v>5</v>
      </c>
      <c r="L1025" s="98"/>
      <c r="M1025" s="98"/>
      <c r="N1025" s="98"/>
      <c r="O1025" s="98"/>
      <c r="P1025" s="98"/>
      <c r="Q1025" s="98"/>
      <c r="R1025" s="98"/>
    </row>
    <row r="1026" spans="1:18" ht="15" customHeight="1">
      <c r="A1026" s="277" t="s">
        <v>125</v>
      </c>
      <c r="B1026" s="277"/>
      <c r="C1026" s="284" t="s">
        <v>120</v>
      </c>
      <c r="D1026" s="45" t="s">
        <v>23</v>
      </c>
      <c r="E1026" s="47">
        <v>0.767</v>
      </c>
      <c r="G1026" s="102" t="str">
        <f aca="true" t="shared" si="8" ref="G1026:G1031">CONCATENATE(D1026," - ",E1026,", ")</f>
        <v>Brass scrap - 0.767, </v>
      </c>
      <c r="H1026" s="274"/>
      <c r="I1026" s="98" t="str">
        <f ca="1">IF(J1025&gt;=3,(MID(I1025,2,1)&amp;MID(I1025,4,4)-K1025),CELL("address",Z1026))</f>
        <v>G1027</v>
      </c>
      <c r="J1026" s="98" t="str">
        <f ca="1">IF(J1025&gt;=4,(MID(I1026,1,1)&amp;MID(I1026,2,4)+1),CELL("address",AA1026))</f>
        <v>G1028</v>
      </c>
      <c r="K1026" s="98" t="str">
        <f ca="1">IF(J1025&gt;=5,(MID(J1026,1,1)&amp;MID(J1026,2,4)+1),CELL("address",AB1026))</f>
        <v>G1029</v>
      </c>
      <c r="L1026" s="98" t="str">
        <f ca="1">IF(J1025&gt;=6,(MID(K1026,1,1)&amp;MID(K1026,2,4)+1),CELL("address",AC1026))</f>
        <v>G1030</v>
      </c>
      <c r="M1026" s="98" t="str">
        <f ca="1">IF(J1025&gt;=7,(MID(L1026,1,1)&amp;MID(L1026,2,4)+1),CELL("address",AD1026))</f>
        <v>G1031</v>
      </c>
      <c r="N1026" s="98" t="str">
        <f ca="1">IF(J1025&gt;=8,(MID(M1026,1,1)&amp;MID(M1026,2,4)+1),CELL("address",AE1026))</f>
        <v>G1032</v>
      </c>
      <c r="O1026" s="98" t="str">
        <f ca="1">IF(J1025&gt;=9,(MID(N1026,1,1)&amp;MID(N1026,2,4)+1),CELL("address",AF1026))</f>
        <v>$AF$1026</v>
      </c>
      <c r="P1026" s="98" t="str">
        <f ca="1">IF(J1025&gt;=10,(MID(O1026,1,1)&amp;MID(O1026,2,4)+1),CELL("address",AG1026))</f>
        <v>$AG$1026</v>
      </c>
      <c r="Q1026" s="98" t="str">
        <f ca="1">IF(J1025&gt;=11,(MID(P1026,1,1)&amp;MID(P1026,2,4)+1),CELL("address",AH1026))</f>
        <v>$AH$1026</v>
      </c>
      <c r="R1026" s="98" t="str">
        <f ca="1">IF(J1025&gt;=12,(MID(Q1026,1,1)&amp;MID(Q1026,2,4)+1),CELL("address",AI1026))</f>
        <v>$AI$1026</v>
      </c>
    </row>
    <row r="1027" spans="1:8" ht="15" customHeight="1">
      <c r="A1027" s="277"/>
      <c r="B1027" s="277"/>
      <c r="C1027" s="284"/>
      <c r="D1027" s="45" t="s">
        <v>31</v>
      </c>
      <c r="E1027" s="73">
        <v>0.069</v>
      </c>
      <c r="G1027" s="102" t="str">
        <f t="shared" si="8"/>
        <v>Misc. Alumn. Scrap - 0.069, </v>
      </c>
      <c r="H1027" s="1"/>
    </row>
    <row r="1028" spans="1:15" ht="15" customHeight="1">
      <c r="A1028" s="277"/>
      <c r="B1028" s="277"/>
      <c r="C1028" s="284"/>
      <c r="D1028" s="40" t="s">
        <v>37</v>
      </c>
      <c r="E1028" s="210">
        <v>0.055</v>
      </c>
      <c r="F1028" s="98"/>
      <c r="G1028" s="102" t="str">
        <f t="shared" si="8"/>
        <v>Burnt Cu scrap - 0.055, </v>
      </c>
      <c r="H1028" s="98"/>
      <c r="I1028" s="98"/>
      <c r="J1028" s="98"/>
      <c r="K1028" s="98"/>
      <c r="L1028" s="98"/>
      <c r="M1028" s="98"/>
      <c r="N1028" s="98"/>
      <c r="O1028" s="98"/>
    </row>
    <row r="1029" spans="1:15" ht="15" customHeight="1">
      <c r="A1029" s="277"/>
      <c r="B1029" s="277"/>
      <c r="C1029" s="284"/>
      <c r="D1029" s="40" t="s">
        <v>58</v>
      </c>
      <c r="E1029" s="210">
        <v>0.87</v>
      </c>
      <c r="F1029" s="98"/>
      <c r="G1029" s="102" t="str">
        <f t="shared" si="8"/>
        <v>Nuts &amp; Bolts scrap - 0.87, </v>
      </c>
      <c r="H1029" s="98"/>
      <c r="I1029" s="98" t="e">
        <f ca="1">IF(G1028&gt;=6,(MID(H1029,1,1)&amp;MID(H1029,2,4)+1),CELL("address",Z1029))</f>
        <v>#VALUE!</v>
      </c>
      <c r="J1029" s="98" t="e">
        <f ca="1">IF(G1028&gt;=7,(MID(I1029,1,1)&amp;MID(I1029,2,4)+1),CELL("address",AA1029))</f>
        <v>#VALUE!</v>
      </c>
      <c r="K1029" s="98" t="e">
        <f ca="1">IF(G1028&gt;=8,(MID(J1029,1,1)&amp;MID(J1029,2,4)+1),CELL("address",AB1029))</f>
        <v>#VALUE!</v>
      </c>
      <c r="L1029" s="98" t="e">
        <f ca="1">IF(G1028&gt;=9,(MID(K1029,1,1)&amp;MID(K1029,2,4)+1),CELL("address",AC1029))</f>
        <v>#VALUE!</v>
      </c>
      <c r="M1029" s="98" t="e">
        <f ca="1">IF(G1028&gt;=10,(MID(L1029,1,1)&amp;MID(L1029,2,4)+1),CELL("address",AD1029))</f>
        <v>#VALUE!</v>
      </c>
      <c r="N1029" s="98" t="e">
        <f ca="1">IF(G1028&gt;=11,(MID(M1029,1,1)&amp;MID(M1029,2,4)+1),CELL("address",AE1029))</f>
        <v>#VALUE!</v>
      </c>
      <c r="O1029" s="98" t="e">
        <f ca="1">IF(G1028&gt;=12,(MID(N1029,1,1)&amp;MID(N1029,2,4)+1),CELL("address",AF1029))</f>
        <v>#VALUE!</v>
      </c>
    </row>
    <row r="1030" spans="1:8" ht="15" customHeight="1">
      <c r="A1030" s="277"/>
      <c r="B1030" s="277"/>
      <c r="C1030" s="284"/>
      <c r="D1030" s="40" t="s">
        <v>64</v>
      </c>
      <c r="E1030" s="210">
        <v>0.136</v>
      </c>
      <c r="G1030" s="102" t="str">
        <f t="shared" si="8"/>
        <v>Teen Patra scrap - 0.136, </v>
      </c>
      <c r="H1030" s="1"/>
    </row>
    <row r="1031" spans="1:8" ht="15" customHeight="1">
      <c r="A1031" s="277"/>
      <c r="B1031" s="277"/>
      <c r="C1031" s="284"/>
      <c r="D1031" s="40" t="s">
        <v>539</v>
      </c>
      <c r="E1031" s="210">
        <v>0.058</v>
      </c>
      <c r="G1031" s="102" t="str">
        <f t="shared" si="8"/>
        <v>M.S Iron scrap - 0.058, </v>
      </c>
      <c r="H1031" s="1"/>
    </row>
    <row r="1032" spans="1:15" ht="15" customHeight="1">
      <c r="A1032" s="35"/>
      <c r="B1032" s="1"/>
      <c r="C1032" s="1"/>
      <c r="D1032" s="1"/>
      <c r="E1032" s="1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</row>
    <row r="1033" spans="1:15" ht="15" customHeight="1">
      <c r="A1033" s="280"/>
      <c r="B1033" s="281"/>
      <c r="C1033" s="66"/>
      <c r="D1033" s="66"/>
      <c r="E1033" s="67">
        <f>SUM(E1035:E1035)</f>
        <v>0.011</v>
      </c>
      <c r="F1033" s="98"/>
      <c r="G1033" s="98"/>
      <c r="H1033" s="98"/>
      <c r="I1033" s="98" t="str">
        <f ca="1">IF(G1032&gt;=6,(MID(H1033,1,1)&amp;MID(H1033,2,4)+1),CELL("address",Z1033))</f>
        <v>$Z$1033</v>
      </c>
      <c r="J1033" s="98" t="str">
        <f ca="1">IF(G1032&gt;=7,(MID(I1033,1,1)&amp;MID(I1033,2,4)+1),CELL("address",AA1033))</f>
        <v>$AA$1033</v>
      </c>
      <c r="K1033" s="98" t="str">
        <f ca="1">IF(G1032&gt;=8,(MID(J1033,1,1)&amp;MID(J1033,2,4)+1),CELL("address",AB1033))</f>
        <v>$AB$1033</v>
      </c>
      <c r="L1033" s="98" t="str">
        <f ca="1">IF(G1032&gt;=9,(MID(K1033,1,1)&amp;MID(K1033,2,4)+1),CELL("address",AC1033))</f>
        <v>$AC$1033</v>
      </c>
      <c r="M1033" s="98" t="str">
        <f ca="1">IF(G1032&gt;=10,(MID(L1033,1,1)&amp;MID(L1033,2,4)+1),CELL("address",AD1033))</f>
        <v>$AD$1033</v>
      </c>
      <c r="N1033" s="98" t="str">
        <f ca="1">IF(G1032&gt;=11,(MID(M1033,1,1)&amp;MID(M1033,2,4)+1),CELL("address",AE1033))</f>
        <v>$AE$1033</v>
      </c>
      <c r="O1033" s="98" t="str">
        <f ca="1">IF(G1032&gt;=12,(MID(N1033,1,1)&amp;MID(N1033,2,4)+1),CELL("address",AF1033))</f>
        <v>$AF$1033</v>
      </c>
    </row>
    <row r="1034" spans="1:18" ht="15" customHeight="1">
      <c r="A1034" s="277" t="s">
        <v>5</v>
      </c>
      <c r="B1034" s="277"/>
      <c r="C1034" s="64" t="s">
        <v>17</v>
      </c>
      <c r="D1034" s="65" t="s">
        <v>18</v>
      </c>
      <c r="E1034" s="64" t="s">
        <v>7</v>
      </c>
      <c r="G1034" s="184" t="str">
        <f>CONCATENATE("Misc. Healthy parts/ Non Ferrous  Scrap, Lying at ",C1035,". Quantity in MT - ")</f>
        <v>Misc. Healthy parts/ Non Ferrous  Scrap, Lying at CS Malout. Quantity in MT - </v>
      </c>
      <c r="H1034" s="274" t="str">
        <f ca="1">CONCATENATE(G1034,G1035,(INDIRECT(I1035)),(INDIRECT(J1035)),(INDIRECT(K1035)),(INDIRECT(L1035)),(INDIRECT(M1035)),(INDIRECT(N1035)),(INDIRECT(O1035)),(INDIRECT(P1035)),(INDIRECT(Q1035)),(INDIRECT(R1035)),".")</f>
        <v>Misc. Healthy parts/ Non Ferrous  Scrap, Lying at CS Malout. Quantity in MT - Brass scrap - 0.011, .</v>
      </c>
      <c r="I1034" s="98" t="str">
        <f aca="true" ca="1" t="array" ref="I1034">CELL("address",INDEX(G1034:G1056,MATCH(TRUE,ISBLANK(G1034:G1056),0)))</f>
        <v>$G$1036</v>
      </c>
      <c r="J1034" s="98">
        <f aca="true" t="array" ref="J1034">MATCH(TRUE,ISBLANK(G1034:G1056),0)</f>
        <v>3</v>
      </c>
      <c r="K1034" s="98">
        <f>J1034-3</f>
        <v>0</v>
      </c>
      <c r="L1034" s="98"/>
      <c r="M1034" s="98"/>
      <c r="N1034" s="98"/>
      <c r="O1034" s="98"/>
      <c r="P1034" s="98"/>
      <c r="Q1034" s="98"/>
      <c r="R1034" s="98"/>
    </row>
    <row r="1035" spans="1:18" ht="15" customHeight="1">
      <c r="A1035" s="277" t="s">
        <v>133</v>
      </c>
      <c r="B1035" s="277"/>
      <c r="C1035" s="258" t="s">
        <v>95</v>
      </c>
      <c r="D1035" s="45" t="s">
        <v>23</v>
      </c>
      <c r="E1035" s="47">
        <v>0.011</v>
      </c>
      <c r="G1035" s="102" t="str">
        <f>CONCATENATE(D1035," - ",E1035,", ")</f>
        <v>Brass scrap - 0.011, </v>
      </c>
      <c r="H1035" s="274"/>
      <c r="I1035" s="98" t="str">
        <f ca="1">IF(J1034&gt;=3,(MID(I1034,2,1)&amp;MID(I1034,4,4)-K1034),CELL("address",Z1035))</f>
        <v>G1036</v>
      </c>
      <c r="J1035" s="98" t="str">
        <f ca="1">IF(J1034&gt;=4,(MID(I1035,1,1)&amp;MID(I1035,2,4)+1),CELL("address",AA1035))</f>
        <v>$AA$1035</v>
      </c>
      <c r="K1035" s="98" t="str">
        <f ca="1">IF(J1034&gt;=5,(MID(J1035,1,1)&amp;MID(J1035,2,4)+1),CELL("address",AB1035))</f>
        <v>$AB$1035</v>
      </c>
      <c r="L1035" s="98" t="str">
        <f ca="1">IF(J1034&gt;=6,(MID(K1035,1,1)&amp;MID(K1035,2,4)+1),CELL("address",AC1035))</f>
        <v>$AC$1035</v>
      </c>
      <c r="M1035" s="98" t="str">
        <f ca="1">IF(J1034&gt;=7,(MID(L1035,1,1)&amp;MID(L1035,2,4)+1),CELL("address",AD1035))</f>
        <v>$AD$1035</v>
      </c>
      <c r="N1035" s="98" t="str">
        <f ca="1">IF(J1034&gt;=8,(MID(M1035,1,1)&amp;MID(M1035,2,4)+1),CELL("address",AE1035))</f>
        <v>$AE$1035</v>
      </c>
      <c r="O1035" s="98" t="str">
        <f ca="1">IF(J1034&gt;=9,(MID(N1035,1,1)&amp;MID(N1035,2,4)+1),CELL("address",AF1035))</f>
        <v>$AF$1035</v>
      </c>
      <c r="P1035" s="98" t="str">
        <f ca="1">IF(J1034&gt;=10,(MID(O1035,1,1)&amp;MID(O1035,2,4)+1),CELL("address",AG1035))</f>
        <v>$AG$1035</v>
      </c>
      <c r="Q1035" s="98" t="str">
        <f ca="1">IF(J1034&gt;=11,(MID(P1035,1,1)&amp;MID(P1035,2,4)+1),CELL("address",AH1035))</f>
        <v>$AH$1035</v>
      </c>
      <c r="R1035" s="98" t="str">
        <f ca="1">IF(J1034&gt;=12,(MID(Q1035,1,1)&amp;MID(Q1035,2,4)+1),CELL("address",AI1035))</f>
        <v>$AI$1035</v>
      </c>
    </row>
    <row r="1036" spans="1:15" ht="15" customHeight="1">
      <c r="A1036" s="303"/>
      <c r="B1036" s="304"/>
      <c r="C1036" s="92"/>
      <c r="D1036" s="92"/>
      <c r="E1036" s="92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</row>
    <row r="1037" spans="1:15" ht="15" customHeight="1">
      <c r="A1037" s="280"/>
      <c r="B1037" s="281"/>
      <c r="C1037" s="66"/>
      <c r="D1037" s="66"/>
      <c r="E1037" s="67">
        <f>SUM(E1039:E1039)</f>
        <v>1</v>
      </c>
      <c r="F1037" s="98"/>
      <c r="G1037" s="98"/>
      <c r="H1037" s="98"/>
      <c r="I1037" s="98" t="str">
        <f ca="1">IF(G1036&gt;=6,(MID(H1037,1,1)&amp;MID(H1037,2,4)+1),CELL("address",Z1037))</f>
        <v>$Z$1037</v>
      </c>
      <c r="J1037" s="98" t="str">
        <f ca="1">IF(G1036&gt;=7,(MID(I1037,1,1)&amp;MID(I1037,2,4)+1),CELL("address",AA1037))</f>
        <v>$AA$1037</v>
      </c>
      <c r="K1037" s="98" t="str">
        <f ca="1">IF(G1036&gt;=8,(MID(J1037,1,1)&amp;MID(J1037,2,4)+1),CELL("address",AB1037))</f>
        <v>$AB$1037</v>
      </c>
      <c r="L1037" s="98" t="str">
        <f ca="1">IF(G1036&gt;=9,(MID(K1037,1,1)&amp;MID(K1037,2,4)+1),CELL("address",AC1037))</f>
        <v>$AC$1037</v>
      </c>
      <c r="M1037" s="98" t="str">
        <f ca="1">IF(G1036&gt;=10,(MID(L1037,1,1)&amp;MID(L1037,2,4)+1),CELL("address",AD1037))</f>
        <v>$AD$1037</v>
      </c>
      <c r="N1037" s="98" t="str">
        <f ca="1">IF(G1036&gt;=11,(MID(M1037,1,1)&amp;MID(M1037,2,4)+1),CELL("address",AE1037))</f>
        <v>$AE$1037</v>
      </c>
      <c r="O1037" s="98" t="str">
        <f ca="1">IF(G1036&gt;=12,(MID(N1037,1,1)&amp;MID(N1037,2,4)+1),CELL("address",AF1037))</f>
        <v>$AF$1037</v>
      </c>
    </row>
    <row r="1038" spans="1:18" ht="15" customHeight="1">
      <c r="A1038" s="277" t="s">
        <v>5</v>
      </c>
      <c r="B1038" s="277"/>
      <c r="C1038" s="64" t="s">
        <v>17</v>
      </c>
      <c r="D1038" s="65" t="s">
        <v>18</v>
      </c>
      <c r="E1038" s="64" t="s">
        <v>7</v>
      </c>
      <c r="G1038" s="184" t="str">
        <f>CONCATENATE("Misc. Healthy parts/ Non Ferrous  Scrap, Lying at ",C1039,". Quantity in MT - ")</f>
        <v>Misc. Healthy parts/ Non Ferrous  Scrap, Lying at TRY Bathinda. Quantity in MT - </v>
      </c>
      <c r="H1038" s="274" t="str">
        <f ca="1">CONCATENATE(G1038,G1039,(INDIRECT(I1039)),(INDIRECT(J1039)),(INDIRECT(K1039)),(INDIRECT(L1039)),(INDIRECT(M1039)),(INDIRECT(N1039)),(INDIRECT(O1039)),(INDIRECT(P1039)),(INDIRECT(Q1039)),(INDIRECT(R1039)),".")</f>
        <v>Misc. Healthy parts/ Non Ferrous  Scrap, Lying at TRY Bathinda. Quantity in MT - Brass scrap - 1, .</v>
      </c>
      <c r="I1038" s="98" t="str">
        <f aca="true" ca="1" t="array" ref="I1038">CELL("address",INDEX(G1038:G1062,MATCH(TRUE,ISBLANK(G1038:G1062),0)))</f>
        <v>$G$1040</v>
      </c>
      <c r="J1038" s="98">
        <f aca="true" t="array" ref="J1038">MATCH(TRUE,ISBLANK(G1038:G1062),0)</f>
        <v>3</v>
      </c>
      <c r="K1038" s="98">
        <f>J1038-3</f>
        <v>0</v>
      </c>
      <c r="L1038" s="98"/>
      <c r="M1038" s="98"/>
      <c r="N1038" s="98"/>
      <c r="O1038" s="98"/>
      <c r="P1038" s="98"/>
      <c r="Q1038" s="98"/>
      <c r="R1038" s="98"/>
    </row>
    <row r="1039" spans="1:18" ht="15" customHeight="1">
      <c r="A1039" s="277" t="s">
        <v>134</v>
      </c>
      <c r="B1039" s="277"/>
      <c r="C1039" s="258" t="s">
        <v>36</v>
      </c>
      <c r="D1039" s="40" t="s">
        <v>23</v>
      </c>
      <c r="E1039" s="46">
        <v>1</v>
      </c>
      <c r="G1039" s="102" t="str">
        <f>CONCATENATE(D1039," - ",E1039,", ")</f>
        <v>Brass scrap - 1, </v>
      </c>
      <c r="H1039" s="274"/>
      <c r="I1039" s="98" t="str">
        <f ca="1">IF(J1038&gt;=3,(MID(I1038,2,1)&amp;MID(I1038,4,4)-K1038),CELL("address",Z1039))</f>
        <v>G1040</v>
      </c>
      <c r="J1039" s="98" t="str">
        <f ca="1">IF(J1038&gt;=4,(MID(I1039,1,1)&amp;MID(I1039,2,4)+1),CELL("address",AA1039))</f>
        <v>$AA$1039</v>
      </c>
      <c r="K1039" s="98" t="str">
        <f ca="1">IF(J1038&gt;=5,(MID(J1039,1,1)&amp;MID(J1039,2,4)+1),CELL("address",AB1039))</f>
        <v>$AB$1039</v>
      </c>
      <c r="L1039" s="98" t="str">
        <f ca="1">IF(J1038&gt;=6,(MID(K1039,1,1)&amp;MID(K1039,2,4)+1),CELL("address",AC1039))</f>
        <v>$AC$1039</v>
      </c>
      <c r="M1039" s="98" t="str">
        <f ca="1">IF(J1038&gt;=7,(MID(L1039,1,1)&amp;MID(L1039,2,4)+1),CELL("address",AD1039))</f>
        <v>$AD$1039</v>
      </c>
      <c r="N1039" s="98" t="str">
        <f ca="1">IF(J1038&gt;=8,(MID(M1039,1,1)&amp;MID(M1039,2,4)+1),CELL("address",AE1039))</f>
        <v>$AE$1039</v>
      </c>
      <c r="O1039" s="98" t="str">
        <f ca="1">IF(J1038&gt;=9,(MID(N1039,1,1)&amp;MID(N1039,2,4)+1),CELL("address",AF1039))</f>
        <v>$AF$1039</v>
      </c>
      <c r="P1039" s="98" t="str">
        <f ca="1">IF(J1038&gt;=10,(MID(O1039,1,1)&amp;MID(O1039,2,4)+1),CELL("address",AG1039))</f>
        <v>$AG$1039</v>
      </c>
      <c r="Q1039" s="98" t="str">
        <f ca="1">IF(J1038&gt;=11,(MID(P1039,1,1)&amp;MID(P1039,2,4)+1),CELL("address",AH1039))</f>
        <v>$AH$1039</v>
      </c>
      <c r="R1039" s="98" t="str">
        <f ca="1">IF(J1038&gt;=12,(MID(Q1039,1,1)&amp;MID(Q1039,2,4)+1),CELL("address",AI1039))</f>
        <v>$AI$1039</v>
      </c>
    </row>
    <row r="1040" spans="1:15" ht="15" customHeight="1">
      <c r="A1040" s="303"/>
      <c r="B1040" s="304"/>
      <c r="C1040" s="92"/>
      <c r="D1040" s="92"/>
      <c r="E1040" s="92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</row>
    <row r="1041" spans="1:15" ht="15" customHeight="1">
      <c r="A1041" s="280"/>
      <c r="B1041" s="281"/>
      <c r="C1041" s="66"/>
      <c r="D1041" s="66"/>
      <c r="E1041" s="67">
        <f>SUM(E1043:E1043)</f>
        <v>1</v>
      </c>
      <c r="F1041" s="98"/>
      <c r="G1041" s="98"/>
      <c r="H1041" s="98"/>
      <c r="I1041" s="98" t="str">
        <f ca="1">IF(G1040&gt;=6,(MID(H1041,1,1)&amp;MID(H1041,2,4)+1),CELL("address",Z1041))</f>
        <v>$Z$1041</v>
      </c>
      <c r="J1041" s="98" t="str">
        <f ca="1">IF(G1040&gt;=7,(MID(I1041,1,1)&amp;MID(I1041,2,4)+1),CELL("address",AA1041))</f>
        <v>$AA$1041</v>
      </c>
      <c r="K1041" s="98" t="str">
        <f ca="1">IF(G1040&gt;=8,(MID(J1041,1,1)&amp;MID(J1041,2,4)+1),CELL("address",AB1041))</f>
        <v>$AB$1041</v>
      </c>
      <c r="L1041" s="98" t="str">
        <f ca="1">IF(G1040&gt;=9,(MID(K1041,1,1)&amp;MID(K1041,2,4)+1),CELL("address",AC1041))</f>
        <v>$AC$1041</v>
      </c>
      <c r="M1041" s="98" t="str">
        <f ca="1">IF(G1040&gt;=10,(MID(L1041,1,1)&amp;MID(L1041,2,4)+1),CELL("address",AD1041))</f>
        <v>$AD$1041</v>
      </c>
      <c r="N1041" s="98" t="str">
        <f ca="1">IF(G1040&gt;=11,(MID(M1041,1,1)&amp;MID(M1041,2,4)+1),CELL("address",AE1041))</f>
        <v>$AE$1041</v>
      </c>
      <c r="O1041" s="98" t="str">
        <f ca="1">IF(G1040&gt;=12,(MID(N1041,1,1)&amp;MID(N1041,2,4)+1),CELL("address",AF1041))</f>
        <v>$AF$1041</v>
      </c>
    </row>
    <row r="1042" spans="1:18" ht="15" customHeight="1">
      <c r="A1042" s="277" t="s">
        <v>5</v>
      </c>
      <c r="B1042" s="277"/>
      <c r="C1042" s="64" t="s">
        <v>17</v>
      </c>
      <c r="D1042" s="65" t="s">
        <v>18</v>
      </c>
      <c r="E1042" s="64" t="s">
        <v>7</v>
      </c>
      <c r="G1042" s="184" t="str">
        <f>CONCATENATE("Misc. Healthy parts/ Non Ferrous  Scrap, Lying at ",C1043,". Quantity in MT - ")</f>
        <v>Misc. Healthy parts/ Non Ferrous  Scrap, Lying at TRY Bathinda. Quantity in MT - </v>
      </c>
      <c r="H1042" s="274" t="str">
        <f ca="1">CONCATENATE(G1042,G1043,(INDIRECT(I1043)),(INDIRECT(J1043)),(INDIRECT(K1043)),(INDIRECT(L1043)),(INDIRECT(M1043)),(INDIRECT(N1043)),(INDIRECT(O1043)),(INDIRECT(P1043)),(INDIRECT(Q1043)),(INDIRECT(R1043)),".")</f>
        <v>Misc. Healthy parts/ Non Ferrous  Scrap, Lying at TRY Bathinda. Quantity in MT - Brass scrap - 1, .</v>
      </c>
      <c r="I1042" s="98" t="str">
        <f aca="true" ca="1" t="array" ref="I1042">CELL("address",INDEX(G1042:G1066,MATCH(TRUE,ISBLANK(G1042:G1066),0)))</f>
        <v>$G$1044</v>
      </c>
      <c r="J1042" s="98">
        <f aca="true" t="array" ref="J1042">MATCH(TRUE,ISBLANK(G1042:G1066),0)</f>
        <v>3</v>
      </c>
      <c r="K1042" s="98">
        <f>J1042-3</f>
        <v>0</v>
      </c>
      <c r="L1042" s="98"/>
      <c r="M1042" s="98"/>
      <c r="N1042" s="98"/>
      <c r="O1042" s="98"/>
      <c r="P1042" s="98"/>
      <c r="Q1042" s="98"/>
      <c r="R1042" s="98"/>
    </row>
    <row r="1043" spans="1:18" ht="15" customHeight="1">
      <c r="A1043" s="277" t="s">
        <v>141</v>
      </c>
      <c r="B1043" s="277"/>
      <c r="C1043" s="258" t="s">
        <v>36</v>
      </c>
      <c r="D1043" s="40" t="s">
        <v>23</v>
      </c>
      <c r="E1043" s="46">
        <v>1</v>
      </c>
      <c r="G1043" s="102" t="str">
        <f>CONCATENATE(D1043," - ",E1043,", ")</f>
        <v>Brass scrap - 1, </v>
      </c>
      <c r="H1043" s="274"/>
      <c r="I1043" s="98" t="str">
        <f ca="1">IF(J1042&gt;=3,(MID(I1042,2,1)&amp;MID(I1042,4,4)-K1042),CELL("address",Z1043))</f>
        <v>G1044</v>
      </c>
      <c r="J1043" s="98" t="str">
        <f ca="1">IF(J1042&gt;=4,(MID(I1043,1,1)&amp;MID(I1043,2,4)+1),CELL("address",AA1043))</f>
        <v>$AA$1043</v>
      </c>
      <c r="K1043" s="98" t="str">
        <f ca="1">IF(J1042&gt;=5,(MID(J1043,1,1)&amp;MID(J1043,2,4)+1),CELL("address",AB1043))</f>
        <v>$AB$1043</v>
      </c>
      <c r="L1043" s="98" t="str">
        <f ca="1">IF(J1042&gt;=6,(MID(K1043,1,1)&amp;MID(K1043,2,4)+1),CELL("address",AC1043))</f>
        <v>$AC$1043</v>
      </c>
      <c r="M1043" s="98" t="str">
        <f ca="1">IF(J1042&gt;=7,(MID(L1043,1,1)&amp;MID(L1043,2,4)+1),CELL("address",AD1043))</f>
        <v>$AD$1043</v>
      </c>
      <c r="N1043" s="98" t="str">
        <f ca="1">IF(J1042&gt;=8,(MID(M1043,1,1)&amp;MID(M1043,2,4)+1),CELL("address",AE1043))</f>
        <v>$AE$1043</v>
      </c>
      <c r="O1043" s="98" t="str">
        <f ca="1">IF(J1042&gt;=9,(MID(N1043,1,1)&amp;MID(N1043,2,4)+1),CELL("address",AF1043))</f>
        <v>$AF$1043</v>
      </c>
      <c r="P1043" s="98" t="str">
        <f ca="1">IF(J1042&gt;=10,(MID(O1043,1,1)&amp;MID(O1043,2,4)+1),CELL("address",AG1043))</f>
        <v>$AG$1043</v>
      </c>
      <c r="Q1043" s="98" t="str">
        <f ca="1">IF(J1042&gt;=11,(MID(P1043,1,1)&amp;MID(P1043,2,4)+1),CELL("address",AH1043))</f>
        <v>$AH$1043</v>
      </c>
      <c r="R1043" s="98" t="str">
        <f ca="1">IF(J1042&gt;=12,(MID(Q1043,1,1)&amp;MID(Q1043,2,4)+1),CELL("address",AI1043))</f>
        <v>$AI$1043</v>
      </c>
    </row>
    <row r="1044" spans="1:15" ht="15" customHeight="1">
      <c r="A1044" s="303"/>
      <c r="B1044" s="304"/>
      <c r="C1044" s="92"/>
      <c r="D1044" s="92"/>
      <c r="E1044" s="92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1:15" ht="15" customHeight="1">
      <c r="A1045" s="280"/>
      <c r="B1045" s="281"/>
      <c r="C1045" s="66"/>
      <c r="D1045" s="66"/>
      <c r="E1045" s="67">
        <f>SUM(E1047:E1047)</f>
        <v>1</v>
      </c>
      <c r="F1045" s="98"/>
      <c r="G1045" s="98"/>
      <c r="H1045" s="98"/>
      <c r="I1045" s="98" t="str">
        <f ca="1">IF(G1044&gt;=6,(MID(H1045,1,1)&amp;MID(H1045,2,4)+1),CELL("address",Z1045))</f>
        <v>$Z$1045</v>
      </c>
      <c r="J1045" s="98" t="str">
        <f ca="1">IF(G1044&gt;=7,(MID(I1045,1,1)&amp;MID(I1045,2,4)+1),CELL("address",AA1045))</f>
        <v>$AA$1045</v>
      </c>
      <c r="K1045" s="98" t="str">
        <f ca="1">IF(G1044&gt;=8,(MID(J1045,1,1)&amp;MID(J1045,2,4)+1),CELL("address",AB1045))</f>
        <v>$AB$1045</v>
      </c>
      <c r="L1045" s="98" t="str">
        <f ca="1">IF(G1044&gt;=9,(MID(K1045,1,1)&amp;MID(K1045,2,4)+1),CELL("address",AC1045))</f>
        <v>$AC$1045</v>
      </c>
      <c r="M1045" s="98" t="str">
        <f ca="1">IF(G1044&gt;=10,(MID(L1045,1,1)&amp;MID(L1045,2,4)+1),CELL("address",AD1045))</f>
        <v>$AD$1045</v>
      </c>
      <c r="N1045" s="98" t="str">
        <f ca="1">IF(G1044&gt;=11,(MID(M1045,1,1)&amp;MID(M1045,2,4)+1),CELL("address",AE1045))</f>
        <v>$AE$1045</v>
      </c>
      <c r="O1045" s="98" t="str">
        <f ca="1">IF(G1044&gt;=12,(MID(N1045,1,1)&amp;MID(N1045,2,4)+1),CELL("address",AF1045))</f>
        <v>$AF$1045</v>
      </c>
    </row>
    <row r="1046" spans="1:18" ht="15" customHeight="1">
      <c r="A1046" s="277" t="s">
        <v>5</v>
      </c>
      <c r="B1046" s="277"/>
      <c r="C1046" s="64" t="s">
        <v>17</v>
      </c>
      <c r="D1046" s="65" t="s">
        <v>18</v>
      </c>
      <c r="E1046" s="64" t="s">
        <v>7</v>
      </c>
      <c r="G1046" s="184" t="str">
        <f>CONCATENATE("Misc. Healthy parts/ Non Ferrous  Scrap, Lying at ",C1047,". Quantity in MT - ")</f>
        <v>Misc. Healthy parts/ Non Ferrous  Scrap, Lying at TRY Bathinda. Quantity in MT - </v>
      </c>
      <c r="H1046" s="274" t="str">
        <f ca="1">CONCATENATE(G1046,G1047,(INDIRECT(I1047)),(INDIRECT(J1047)),(INDIRECT(K1047)),(INDIRECT(L1047)),(INDIRECT(M1047)),(INDIRECT(N1047)),(INDIRECT(O1047)),(INDIRECT(P1047)),(INDIRECT(Q1047)),(INDIRECT(R1047)),".")</f>
        <v>Misc. Healthy parts/ Non Ferrous  Scrap, Lying at TRY Bathinda. Quantity in MT - Brass scrap - 1, .</v>
      </c>
      <c r="I1046" s="98" t="str">
        <f aca="true" ca="1" t="array" ref="I1046">CELL("address",INDEX(G1046:G1070,MATCH(TRUE,ISBLANK(G1046:G1070),0)))</f>
        <v>$G$1048</v>
      </c>
      <c r="J1046" s="98">
        <f aca="true" t="array" ref="J1046">MATCH(TRUE,ISBLANK(G1046:G1070),0)</f>
        <v>3</v>
      </c>
      <c r="K1046" s="98">
        <f>J1046-3</f>
        <v>0</v>
      </c>
      <c r="L1046" s="98"/>
      <c r="M1046" s="98"/>
      <c r="N1046" s="98"/>
      <c r="O1046" s="98"/>
      <c r="P1046" s="98"/>
      <c r="Q1046" s="98"/>
      <c r="R1046" s="98"/>
    </row>
    <row r="1047" spans="1:18" ht="15" customHeight="1">
      <c r="A1047" s="277" t="s">
        <v>196</v>
      </c>
      <c r="B1047" s="277"/>
      <c r="C1047" s="258" t="s">
        <v>36</v>
      </c>
      <c r="D1047" s="40" t="s">
        <v>23</v>
      </c>
      <c r="E1047" s="46">
        <v>1</v>
      </c>
      <c r="G1047" s="102" t="str">
        <f>CONCATENATE(D1047," - ",E1047,", ")</f>
        <v>Brass scrap - 1, </v>
      </c>
      <c r="H1047" s="274"/>
      <c r="I1047" s="98" t="str">
        <f ca="1">IF(J1046&gt;=3,(MID(I1046,2,1)&amp;MID(I1046,4,4)-K1046),CELL("address",Z1047))</f>
        <v>G1048</v>
      </c>
      <c r="J1047" s="98" t="str">
        <f ca="1">IF(J1046&gt;=4,(MID(I1047,1,1)&amp;MID(I1047,2,4)+1),CELL("address",AA1047))</f>
        <v>$AA$1047</v>
      </c>
      <c r="K1047" s="98" t="str">
        <f ca="1">IF(J1046&gt;=5,(MID(J1047,1,1)&amp;MID(J1047,2,4)+1),CELL("address",AB1047))</f>
        <v>$AB$1047</v>
      </c>
      <c r="L1047" s="98" t="str">
        <f ca="1">IF(J1046&gt;=6,(MID(K1047,1,1)&amp;MID(K1047,2,4)+1),CELL("address",AC1047))</f>
        <v>$AC$1047</v>
      </c>
      <c r="M1047" s="98" t="str">
        <f ca="1">IF(J1046&gt;=7,(MID(L1047,1,1)&amp;MID(L1047,2,4)+1),CELL("address",AD1047))</f>
        <v>$AD$1047</v>
      </c>
      <c r="N1047" s="98" t="str">
        <f ca="1">IF(J1046&gt;=8,(MID(M1047,1,1)&amp;MID(M1047,2,4)+1),CELL("address",AE1047))</f>
        <v>$AE$1047</v>
      </c>
      <c r="O1047" s="98" t="str">
        <f ca="1">IF(J1046&gt;=9,(MID(N1047,1,1)&amp;MID(N1047,2,4)+1),CELL("address",AF1047))</f>
        <v>$AF$1047</v>
      </c>
      <c r="P1047" s="98" t="str">
        <f ca="1">IF(J1046&gt;=10,(MID(O1047,1,1)&amp;MID(O1047,2,4)+1),CELL("address",AG1047))</f>
        <v>$AG$1047</v>
      </c>
      <c r="Q1047" s="98" t="str">
        <f ca="1">IF(J1046&gt;=11,(MID(P1047,1,1)&amp;MID(P1047,2,4)+1),CELL("address",AH1047))</f>
        <v>$AH$1047</v>
      </c>
      <c r="R1047" s="98" t="str">
        <f ca="1">IF(J1046&gt;=12,(MID(Q1047,1,1)&amp;MID(Q1047,2,4)+1),CELL("address",AI1047))</f>
        <v>$AI$1047</v>
      </c>
    </row>
    <row r="1048" spans="1:15" ht="15" customHeight="1">
      <c r="A1048" s="303"/>
      <c r="B1048" s="304"/>
      <c r="C1048" s="92"/>
      <c r="D1048" s="92"/>
      <c r="E1048" s="92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</row>
    <row r="1049" spans="1:15" ht="15" customHeight="1">
      <c r="A1049" s="280"/>
      <c r="B1049" s="281"/>
      <c r="C1049" s="66"/>
      <c r="D1049" s="66"/>
      <c r="E1049" s="67">
        <f>SUM(E1051:E1051)</f>
        <v>1</v>
      </c>
      <c r="F1049" s="98"/>
      <c r="G1049" s="98"/>
      <c r="H1049" s="98"/>
      <c r="I1049" s="98" t="str">
        <f ca="1">IF(G1048&gt;=6,(MID(H1049,1,1)&amp;MID(H1049,2,4)+1),CELL("address",Z1049))</f>
        <v>$Z$1049</v>
      </c>
      <c r="J1049" s="98" t="str">
        <f ca="1">IF(G1048&gt;=7,(MID(I1049,1,1)&amp;MID(I1049,2,4)+1),CELL("address",AA1049))</f>
        <v>$AA$1049</v>
      </c>
      <c r="K1049" s="98" t="str">
        <f ca="1">IF(G1048&gt;=8,(MID(J1049,1,1)&amp;MID(J1049,2,4)+1),CELL("address",AB1049))</f>
        <v>$AB$1049</v>
      </c>
      <c r="L1049" s="98" t="str">
        <f ca="1">IF(G1048&gt;=9,(MID(K1049,1,1)&amp;MID(K1049,2,4)+1),CELL("address",AC1049))</f>
        <v>$AC$1049</v>
      </c>
      <c r="M1049" s="98" t="str">
        <f ca="1">IF(G1048&gt;=10,(MID(L1049,1,1)&amp;MID(L1049,2,4)+1),CELL("address",AD1049))</f>
        <v>$AD$1049</v>
      </c>
      <c r="N1049" s="98" t="str">
        <f ca="1">IF(G1048&gt;=11,(MID(M1049,1,1)&amp;MID(M1049,2,4)+1),CELL("address",AE1049))</f>
        <v>$AE$1049</v>
      </c>
      <c r="O1049" s="98" t="str">
        <f ca="1">IF(G1048&gt;=12,(MID(N1049,1,1)&amp;MID(N1049,2,4)+1),CELL("address",AF1049))</f>
        <v>$AF$1049</v>
      </c>
    </row>
    <row r="1050" spans="1:18" ht="15" customHeight="1">
      <c r="A1050" s="277" t="s">
        <v>5</v>
      </c>
      <c r="B1050" s="277"/>
      <c r="C1050" s="64" t="s">
        <v>17</v>
      </c>
      <c r="D1050" s="65" t="s">
        <v>18</v>
      </c>
      <c r="E1050" s="64" t="s">
        <v>7</v>
      </c>
      <c r="G1050" s="184" t="str">
        <f>CONCATENATE("Misc. Healthy parts/ Non Ferrous  Scrap, Lying at ",C1051,". Quantity in MT - ")</f>
        <v>Misc. Healthy parts/ Non Ferrous  Scrap, Lying at TRY Bathinda. Quantity in MT - </v>
      </c>
      <c r="H1050" s="274" t="str">
        <f ca="1">CONCATENATE(G1050,G1051,(INDIRECT(I1051)),(INDIRECT(J1051)),(INDIRECT(K1051)),(INDIRECT(L1051)),(INDIRECT(M1051)),(INDIRECT(N1051)),(INDIRECT(O1051)),(INDIRECT(P1051)),(INDIRECT(Q1051)),(INDIRECT(R1051)),".")</f>
        <v>Misc. Healthy parts/ Non Ferrous  Scrap, Lying at TRY Bathinda. Quantity in MT - Brass scrap - 1, .</v>
      </c>
      <c r="I1050" s="98" t="str">
        <f aca="true" ca="1" t="array" ref="I1050">CELL("address",INDEX(G1050:G1074,MATCH(TRUE,ISBLANK(G1050:G1074),0)))</f>
        <v>$G$1052</v>
      </c>
      <c r="J1050" s="98">
        <f aca="true" t="array" ref="J1050">MATCH(TRUE,ISBLANK(G1050:G1074),0)</f>
        <v>3</v>
      </c>
      <c r="K1050" s="98">
        <f>J1050-3</f>
        <v>0</v>
      </c>
      <c r="L1050" s="98"/>
      <c r="M1050" s="98"/>
      <c r="N1050" s="98"/>
      <c r="O1050" s="98"/>
      <c r="P1050" s="98"/>
      <c r="Q1050" s="98"/>
      <c r="R1050" s="98"/>
    </row>
    <row r="1051" spans="1:18" ht="15" customHeight="1">
      <c r="A1051" s="277" t="s">
        <v>203</v>
      </c>
      <c r="B1051" s="277"/>
      <c r="C1051" s="258" t="s">
        <v>36</v>
      </c>
      <c r="D1051" s="40" t="s">
        <v>23</v>
      </c>
      <c r="E1051" s="46">
        <v>1</v>
      </c>
      <c r="G1051" s="102" t="str">
        <f>CONCATENATE(D1051," - ",E1051,", ")</f>
        <v>Brass scrap - 1, </v>
      </c>
      <c r="H1051" s="274"/>
      <c r="I1051" s="98" t="str">
        <f ca="1">IF(J1050&gt;=3,(MID(I1050,2,1)&amp;MID(I1050,4,4)-K1050),CELL("address",Z1051))</f>
        <v>G1052</v>
      </c>
      <c r="J1051" s="98" t="str">
        <f ca="1">IF(J1050&gt;=4,(MID(I1051,1,1)&amp;MID(I1051,2,4)+1),CELL("address",AA1051))</f>
        <v>$AA$1051</v>
      </c>
      <c r="K1051" s="98" t="str">
        <f ca="1">IF(J1050&gt;=5,(MID(J1051,1,1)&amp;MID(J1051,2,4)+1),CELL("address",AB1051))</f>
        <v>$AB$1051</v>
      </c>
      <c r="L1051" s="98" t="str">
        <f ca="1">IF(J1050&gt;=6,(MID(K1051,1,1)&amp;MID(K1051,2,4)+1),CELL("address",AC1051))</f>
        <v>$AC$1051</v>
      </c>
      <c r="M1051" s="98" t="str">
        <f ca="1">IF(J1050&gt;=7,(MID(L1051,1,1)&amp;MID(L1051,2,4)+1),CELL("address",AD1051))</f>
        <v>$AD$1051</v>
      </c>
      <c r="N1051" s="98" t="str">
        <f ca="1">IF(J1050&gt;=8,(MID(M1051,1,1)&amp;MID(M1051,2,4)+1),CELL("address",AE1051))</f>
        <v>$AE$1051</v>
      </c>
      <c r="O1051" s="98" t="str">
        <f ca="1">IF(J1050&gt;=9,(MID(N1051,1,1)&amp;MID(N1051,2,4)+1),CELL("address",AF1051))</f>
        <v>$AF$1051</v>
      </c>
      <c r="P1051" s="98" t="str">
        <f ca="1">IF(J1050&gt;=10,(MID(O1051,1,1)&amp;MID(O1051,2,4)+1),CELL("address",AG1051))</f>
        <v>$AG$1051</v>
      </c>
      <c r="Q1051" s="98" t="str">
        <f ca="1">IF(J1050&gt;=11,(MID(P1051,1,1)&amp;MID(P1051,2,4)+1),CELL("address",AH1051))</f>
        <v>$AH$1051</v>
      </c>
      <c r="R1051" s="98" t="str">
        <f ca="1">IF(J1050&gt;=12,(MID(Q1051,1,1)&amp;MID(Q1051,2,4)+1),CELL("address",AI1051))</f>
        <v>$AI$1051</v>
      </c>
    </row>
    <row r="1052" spans="1:8" ht="15" customHeight="1">
      <c r="A1052" s="51"/>
      <c r="B1052" s="54"/>
      <c r="C1052" s="19"/>
      <c r="D1052" s="54"/>
      <c r="E1052" s="96"/>
      <c r="H1052" s="1"/>
    </row>
    <row r="1053" spans="1:8" ht="15" customHeight="1">
      <c r="A1053" s="280"/>
      <c r="B1053" s="281"/>
      <c r="C1053" s="66"/>
      <c r="D1053" s="66"/>
      <c r="E1053" s="67">
        <f>SUM(E1055:E1059)</f>
        <v>3.617</v>
      </c>
      <c r="H1053" s="1"/>
    </row>
    <row r="1054" spans="1:18" ht="15" customHeight="1">
      <c r="A1054" s="277" t="s">
        <v>5</v>
      </c>
      <c r="B1054" s="277"/>
      <c r="C1054" s="64" t="s">
        <v>17</v>
      </c>
      <c r="D1054" s="65" t="s">
        <v>18</v>
      </c>
      <c r="E1054" s="64" t="s">
        <v>7</v>
      </c>
      <c r="F1054" s="98"/>
      <c r="G1054" s="184" t="str">
        <f>CONCATENATE("Misc. Healthy parts/ Non Ferrous  Scrap, Lying at ",C1055,". Quantity in MT - ")</f>
        <v>Misc. Healthy parts/ Non Ferrous  Scrap, Lying at TRY Kotkapura. Quantity in MT - </v>
      </c>
      <c r="H1054" s="274" t="str">
        <f ca="1">CONCATENATE(G1054,G1055,(INDIRECT(I1055)),(INDIRECT(J1055)),(INDIRECT(K1055)),(INDIRECT(L1055)),(INDIRECT(M1055)),(INDIRECT(N1055)),(INDIRECT(O1055)),(INDIRECT(P1055)),(INDIRECT(Q1055)),(INDIRECT(R1055)),".")</f>
        <v>Misc. Healthy parts/ Non Ferrous  Scrap, Lying at TRY Kotkapura. Quantity in MT - Brass scrap - 2.059, Misc. Alumn. Scrap - 0.324, Iron scrap - 0.128, Burnt Cu scrap - 0.052, Nuts &amp; Bolts scrap - 1.054, .</v>
      </c>
      <c r="I1054" s="98" t="str">
        <f aca="true" ca="1" t="array" ref="I1054">CELL("address",INDEX(G1054:G1078,MATCH(TRUE,ISBLANK(G1054:G1078),0)))</f>
        <v>$G$1060</v>
      </c>
      <c r="J1054" s="98">
        <f aca="true" t="array" ref="J1054">MATCH(TRUE,ISBLANK(G1054:G1078),0)</f>
        <v>7</v>
      </c>
      <c r="K1054" s="98">
        <f>J1054-3</f>
        <v>4</v>
      </c>
      <c r="L1054" s="98"/>
      <c r="M1054" s="98"/>
      <c r="N1054" s="98"/>
      <c r="O1054" s="98"/>
      <c r="P1054" s="98"/>
      <c r="Q1054" s="98"/>
      <c r="R1054" s="98"/>
    </row>
    <row r="1055" spans="1:18" ht="15" customHeight="1">
      <c r="A1055" s="277" t="s">
        <v>210</v>
      </c>
      <c r="B1055" s="277"/>
      <c r="C1055" s="284" t="s">
        <v>248</v>
      </c>
      <c r="D1055" s="34" t="s">
        <v>23</v>
      </c>
      <c r="E1055" s="49">
        <v>2.059</v>
      </c>
      <c r="F1055" s="98">
        <v>1.754</v>
      </c>
      <c r="G1055" s="102" t="str">
        <f>CONCATENATE(D1055," - ",E1055,", ")</f>
        <v>Brass scrap - 2.059, </v>
      </c>
      <c r="H1055" s="274"/>
      <c r="I1055" s="98" t="str">
        <f ca="1">IF(J1054&gt;=3,(MID(I1054,2,1)&amp;MID(I1054,4,4)-K1054),CELL("address",Z1055))</f>
        <v>G1056</v>
      </c>
      <c r="J1055" s="98" t="str">
        <f ca="1">IF(J1054&gt;=4,(MID(I1055,1,1)&amp;MID(I1055,2,4)+1),CELL("address",AA1055))</f>
        <v>G1057</v>
      </c>
      <c r="K1055" s="98" t="str">
        <f ca="1">IF(J1054&gt;=5,(MID(J1055,1,1)&amp;MID(J1055,2,4)+1),CELL("address",AB1055))</f>
        <v>G1058</v>
      </c>
      <c r="L1055" s="98" t="str">
        <f ca="1">IF(J1054&gt;=6,(MID(K1055,1,1)&amp;MID(K1055,2,4)+1),CELL("address",AC1055))</f>
        <v>G1059</v>
      </c>
      <c r="M1055" s="98" t="str">
        <f ca="1">IF(J1054&gt;=7,(MID(L1055,1,1)&amp;MID(L1055,2,4)+1),CELL("address",AD1055))</f>
        <v>G1060</v>
      </c>
      <c r="N1055" s="98" t="str">
        <f ca="1">IF(J1054&gt;=8,(MID(M1055,1,1)&amp;MID(M1055,2,4)+1),CELL("address",AE1055))</f>
        <v>$AE$1055</v>
      </c>
      <c r="O1055" s="98" t="str">
        <f ca="1">IF(J1054&gt;=9,(MID(N1055,1,1)&amp;MID(N1055,2,4)+1),CELL("address",AF1055))</f>
        <v>$AF$1055</v>
      </c>
      <c r="P1055" s="98" t="str">
        <f ca="1">IF(J1054&gt;=10,(MID(O1055,1,1)&amp;MID(O1055,2,4)+1),CELL("address",AG1055))</f>
        <v>$AG$1055</v>
      </c>
      <c r="Q1055" s="98" t="str">
        <f ca="1">IF(J1054&gt;=11,(MID(P1055,1,1)&amp;MID(P1055,2,4)+1),CELL("address",AH1055))</f>
        <v>$AH$1055</v>
      </c>
      <c r="R1055" s="98" t="str">
        <f ca="1">IF(J1054&gt;=12,(MID(Q1055,1,1)&amp;MID(Q1055,2,4)+1),CELL("address",AI1055))</f>
        <v>$AI$1055</v>
      </c>
    </row>
    <row r="1056" spans="1:8" ht="15" customHeight="1">
      <c r="A1056" s="277"/>
      <c r="B1056" s="277"/>
      <c r="C1056" s="284"/>
      <c r="D1056" s="34" t="s">
        <v>31</v>
      </c>
      <c r="E1056" s="169">
        <v>0.324</v>
      </c>
      <c r="F1056" s="1">
        <v>0.269</v>
      </c>
      <c r="G1056" s="102" t="str">
        <f>CONCATENATE(D1056," - ",E1056,", ")</f>
        <v>Misc. Alumn. Scrap - 0.324, </v>
      </c>
      <c r="H1056" s="1"/>
    </row>
    <row r="1057" spans="1:8" ht="15" customHeight="1">
      <c r="A1057" s="277"/>
      <c r="B1057" s="277"/>
      <c r="C1057" s="284"/>
      <c r="D1057" s="267" t="s">
        <v>27</v>
      </c>
      <c r="E1057" s="169">
        <v>0.128</v>
      </c>
      <c r="F1057" s="1">
        <v>0.106</v>
      </c>
      <c r="G1057" s="102" t="str">
        <f>CONCATENATE(D1057," - ",E1057,", ")</f>
        <v>Iron scrap - 0.128, </v>
      </c>
      <c r="H1057" s="1"/>
    </row>
    <row r="1058" spans="1:8" ht="15" customHeight="1">
      <c r="A1058" s="277"/>
      <c r="B1058" s="277"/>
      <c r="C1058" s="284"/>
      <c r="D1058" s="267" t="s">
        <v>37</v>
      </c>
      <c r="E1058" s="169">
        <v>0.052</v>
      </c>
      <c r="F1058" s="1" t="s">
        <v>320</v>
      </c>
      <c r="G1058" s="102" t="str">
        <f>CONCATENATE(D1058," - ",E1058,", ")</f>
        <v>Burnt Cu scrap - 0.052, </v>
      </c>
      <c r="H1058" s="1"/>
    </row>
    <row r="1059" spans="1:8" ht="15" customHeight="1">
      <c r="A1059" s="277"/>
      <c r="B1059" s="277"/>
      <c r="C1059" s="284"/>
      <c r="D1059" s="267" t="s">
        <v>58</v>
      </c>
      <c r="E1059" s="169">
        <v>1.054</v>
      </c>
      <c r="F1059" s="1" t="s">
        <v>320</v>
      </c>
      <c r="G1059" s="102" t="str">
        <f>CONCATENATE(D1059," - ",E1059,", ")</f>
        <v>Nuts &amp; Bolts scrap - 1.054, </v>
      </c>
      <c r="H1059" s="1"/>
    </row>
    <row r="1060" spans="1:8" ht="15" customHeight="1">
      <c r="A1060" s="275"/>
      <c r="B1060" s="276"/>
      <c r="C1060" s="258"/>
      <c r="D1060" s="267"/>
      <c r="E1060" s="104"/>
      <c r="H1060" s="1"/>
    </row>
    <row r="1061" spans="1:8" ht="15" customHeight="1">
      <c r="A1061" s="280"/>
      <c r="B1061" s="281"/>
      <c r="C1061" s="66"/>
      <c r="D1061" s="66"/>
      <c r="E1061" s="67">
        <f>SUM(E1063:E1066)</f>
        <v>1.557</v>
      </c>
      <c r="H1061" s="1"/>
    </row>
    <row r="1062" spans="1:18" ht="15" customHeight="1">
      <c r="A1062" s="275" t="s">
        <v>5</v>
      </c>
      <c r="B1062" s="276"/>
      <c r="C1062" s="64" t="s">
        <v>17</v>
      </c>
      <c r="D1062" s="65" t="s">
        <v>18</v>
      </c>
      <c r="E1062" s="64" t="s">
        <v>7</v>
      </c>
      <c r="G1062" s="184" t="str">
        <f>CONCATENATE("Misc. Healthy parts/ Non Ferrous  Scrap, Lying at ",C1063,". Quantity in MT - ")</f>
        <v>Misc. Healthy parts/ Non Ferrous  Scrap, Lying at TRY Mansa. Quantity in MT - </v>
      </c>
      <c r="H1062" s="274" t="str">
        <f ca="1">CONCATENATE(G1062,G1063,(INDIRECT(I1063)),(INDIRECT(J1063)),(INDIRECT(K1063)),(INDIRECT(L1063)),(INDIRECT(M1063)),(INDIRECT(N1063)),(INDIRECT(O1063)),(INDIRECT(P1063)),(INDIRECT(Q1063)),(INDIRECT(R1063)),".")</f>
        <v>Misc. Healthy parts/ Non Ferrous  Scrap, Lying at TRY Mansa. Quantity in MT - Brass scrap - 1.302, Misc. Aluminium scrap - 0.147, Burnt Cu scrap - 0.027,  Iron scrap - 0.081, .</v>
      </c>
      <c r="I1062" s="98" t="str">
        <f aca="true" ca="1" t="array" ref="I1062">CELL("address",INDEX(G1062:G1084,MATCH(TRUE,ISBLANK(G1062:G1084),0)))</f>
        <v>$G$1067</v>
      </c>
      <c r="J1062" s="98">
        <f aca="true" t="array" ref="J1062">MATCH(TRUE,ISBLANK(G1062:G1084),0)</f>
        <v>6</v>
      </c>
      <c r="K1062" s="98">
        <f>J1062-3</f>
        <v>3</v>
      </c>
      <c r="L1062" s="98"/>
      <c r="M1062" s="98"/>
      <c r="N1062" s="98"/>
      <c r="O1062" s="98"/>
      <c r="P1062" s="98"/>
      <c r="Q1062" s="98"/>
      <c r="R1062" s="98"/>
    </row>
    <row r="1063" spans="1:18" ht="15" customHeight="1">
      <c r="A1063" s="277" t="s">
        <v>234</v>
      </c>
      <c r="B1063" s="277"/>
      <c r="C1063" s="284" t="s">
        <v>166</v>
      </c>
      <c r="D1063" s="40" t="s">
        <v>23</v>
      </c>
      <c r="E1063" s="46">
        <v>1.302</v>
      </c>
      <c r="F1063" s="98"/>
      <c r="G1063" s="102" t="str">
        <f>CONCATENATE(D1063," - ",E1063,", ")</f>
        <v>Brass scrap - 1.302, </v>
      </c>
      <c r="H1063" s="274"/>
      <c r="I1063" s="98" t="str">
        <f ca="1">IF(J1062&gt;=3,(MID(I1062,2,1)&amp;MID(I1062,4,4)-K1062),CELL("address",Z1063))</f>
        <v>G1064</v>
      </c>
      <c r="J1063" s="98" t="str">
        <f ca="1">IF(J1062&gt;=4,(MID(I1063,1,1)&amp;MID(I1063,2,4)+1),CELL("address",AA1063))</f>
        <v>G1065</v>
      </c>
      <c r="K1063" s="98" t="str">
        <f ca="1">IF(J1062&gt;=5,(MID(J1063,1,1)&amp;MID(J1063,2,4)+1),CELL("address",AB1063))</f>
        <v>G1066</v>
      </c>
      <c r="L1063" s="98" t="str">
        <f ca="1">IF(J1062&gt;=6,(MID(K1063,1,1)&amp;MID(K1063,2,4)+1),CELL("address",AC1063))</f>
        <v>G1067</v>
      </c>
      <c r="M1063" s="98" t="str">
        <f ca="1">IF(J1062&gt;=7,(MID(L1063,1,1)&amp;MID(L1063,2,4)+1),CELL("address",AD1063))</f>
        <v>$AD$1063</v>
      </c>
      <c r="N1063" s="98" t="str">
        <f ca="1">IF(J1062&gt;=8,(MID(M1063,1,1)&amp;MID(M1063,2,4)+1),CELL("address",AE1063))</f>
        <v>$AE$1063</v>
      </c>
      <c r="O1063" s="98" t="str">
        <f ca="1">IF(J1062&gt;=9,(MID(N1063,1,1)&amp;MID(N1063,2,4)+1),CELL("address",AF1063))</f>
        <v>$AF$1063</v>
      </c>
      <c r="P1063" s="98" t="str">
        <f ca="1">IF(J1062&gt;=10,(MID(O1063,1,1)&amp;MID(O1063,2,4)+1),CELL("address",AG1063))</f>
        <v>$AG$1063</v>
      </c>
      <c r="Q1063" s="98" t="str">
        <f ca="1">IF(J1062&gt;=11,(MID(P1063,1,1)&amp;MID(P1063,2,4)+1),CELL("address",AH1063))</f>
        <v>$AH$1063</v>
      </c>
      <c r="R1063" s="98" t="str">
        <f ca="1">IF(J1062&gt;=12,(MID(Q1063,1,1)&amp;MID(Q1063,2,4)+1),CELL("address",AI1063))</f>
        <v>$AI$1063</v>
      </c>
    </row>
    <row r="1064" spans="1:15" ht="15" customHeight="1">
      <c r="A1064" s="277"/>
      <c r="B1064" s="277"/>
      <c r="C1064" s="284"/>
      <c r="D1064" s="40" t="s">
        <v>24</v>
      </c>
      <c r="E1064" s="46">
        <v>0.147</v>
      </c>
      <c r="F1064" s="98"/>
      <c r="G1064" s="102" t="str">
        <f>CONCATENATE(D1064," - ",E1064,", ")</f>
        <v>Misc. Aluminium scrap - 0.147, </v>
      </c>
      <c r="H1064" s="98"/>
      <c r="I1064" s="98" t="e">
        <f ca="1">IF(G1063&gt;=6,(MID(H1064,1,1)&amp;MID(H1064,2,4)+1),CELL("address",Z1064))</f>
        <v>#VALUE!</v>
      </c>
      <c r="J1064" s="98" t="e">
        <f ca="1">IF(G1063&gt;=7,(MID(I1064,1,1)&amp;MID(I1064,2,4)+1),CELL("address",AA1064))</f>
        <v>#VALUE!</v>
      </c>
      <c r="K1064" s="98" t="e">
        <f ca="1">IF(G1063&gt;=8,(MID(J1064,1,1)&amp;MID(J1064,2,4)+1),CELL("address",AB1064))</f>
        <v>#VALUE!</v>
      </c>
      <c r="L1064" s="98" t="e">
        <f ca="1">IF(G1063&gt;=9,(MID(K1064,1,1)&amp;MID(K1064,2,4)+1),CELL("address",AC1064))</f>
        <v>#VALUE!</v>
      </c>
      <c r="M1064" s="98" t="e">
        <f ca="1">IF(G1063&gt;=10,(MID(L1064,1,1)&amp;MID(L1064,2,4)+1),CELL("address",AD1064))</f>
        <v>#VALUE!</v>
      </c>
      <c r="N1064" s="98" t="e">
        <f ca="1">IF(G1063&gt;=11,(MID(M1064,1,1)&amp;MID(M1064,2,4)+1),CELL("address",AE1064))</f>
        <v>#VALUE!</v>
      </c>
      <c r="O1064" s="98" t="e">
        <f ca="1">IF(G1063&gt;=12,(MID(N1064,1,1)&amp;MID(N1064,2,4)+1),CELL("address",AF1064))</f>
        <v>#VALUE!</v>
      </c>
    </row>
    <row r="1065" spans="1:8" ht="15" customHeight="1">
      <c r="A1065" s="277"/>
      <c r="B1065" s="277"/>
      <c r="C1065" s="284"/>
      <c r="D1065" s="40" t="s">
        <v>37</v>
      </c>
      <c r="E1065" s="46">
        <v>0.027</v>
      </c>
      <c r="G1065" s="102" t="str">
        <f>CONCATENATE(D1065," - ",E1065,", ")</f>
        <v>Burnt Cu scrap - 0.027, </v>
      </c>
      <c r="H1065" s="1"/>
    </row>
    <row r="1066" spans="1:8" ht="15" customHeight="1">
      <c r="A1066" s="277"/>
      <c r="B1066" s="277"/>
      <c r="C1066" s="284"/>
      <c r="D1066" s="45" t="s">
        <v>75</v>
      </c>
      <c r="E1066" s="46">
        <v>0.081</v>
      </c>
      <c r="G1066" s="102" t="str">
        <f>CONCATENATE(D1066," - ",E1066,", ")</f>
        <v> Iron scrap - 0.081, </v>
      </c>
      <c r="H1066" s="1"/>
    </row>
    <row r="1067" spans="1:8" ht="15" customHeight="1">
      <c r="A1067" s="35"/>
      <c r="B1067" s="1"/>
      <c r="C1067" s="1"/>
      <c r="D1067" s="1"/>
      <c r="E1067" s="1"/>
      <c r="H1067" s="1"/>
    </row>
    <row r="1068" spans="1:8" ht="15" customHeight="1">
      <c r="A1068" s="280"/>
      <c r="B1068" s="281"/>
      <c r="C1068" s="66"/>
      <c r="D1068" s="66"/>
      <c r="E1068" s="67">
        <f>SUM(E1070:E1074)</f>
        <v>2.086</v>
      </c>
      <c r="H1068" s="1"/>
    </row>
    <row r="1069" spans="1:18" ht="15" customHeight="1">
      <c r="A1069" s="275" t="s">
        <v>5</v>
      </c>
      <c r="B1069" s="276"/>
      <c r="C1069" s="64" t="s">
        <v>17</v>
      </c>
      <c r="D1069" s="65" t="s">
        <v>18</v>
      </c>
      <c r="E1069" s="64" t="s">
        <v>7</v>
      </c>
      <c r="G1069" s="184" t="str">
        <f>CONCATENATE("Misc. Healthy parts/ Non Ferrous  Scrap, Lying at ",C1070,". Quantity in MT - ")</f>
        <v>Misc. Healthy parts/ Non Ferrous  Scrap, Lying at TRY Bhagta Bhai Ka. Quantity in MT - </v>
      </c>
      <c r="H1069" s="274" t="str">
        <f ca="1">CONCATENATE(G1069,G1070,(INDIRECT(I1070)),(INDIRECT(J1070)),(INDIRECT(K1070)),(INDIRECT(L1070)),(INDIRECT(M1070)),(INDIRECT(N1070)),(INDIRECT(O1070)),(INDIRECT(P1070)),(INDIRECT(Q1070)),(INDIRECT(R1070)),".")</f>
        <v>Misc. Healthy parts/ Non Ferrous  Scrap, Lying at TRY Bhagta Bhai Ka. Quantity in MT - Brass scrap - 1.22, Misc. Aluminium scrap - 0.151, Burnt Cu scrap - 0.037,  Iron scrap - 0.088, Nuts &amp; Bolts scrap - 0.59, .</v>
      </c>
      <c r="I1069" s="98" t="str">
        <f aca="true" ca="1" t="array" ref="I1069">CELL("address",INDEX(G1069:G1093,MATCH(TRUE,ISBLANK(G1069:G1093),0)))</f>
        <v>$G$1075</v>
      </c>
      <c r="J1069" s="98">
        <f aca="true" t="array" ref="J1069">MATCH(TRUE,ISBLANK(G1069:G1093),0)</f>
        <v>7</v>
      </c>
      <c r="K1069" s="98">
        <f>J1069-3</f>
        <v>4</v>
      </c>
      <c r="L1069" s="98"/>
      <c r="M1069" s="98"/>
      <c r="N1069" s="98"/>
      <c r="O1069" s="98"/>
      <c r="P1069" s="98"/>
      <c r="Q1069" s="98"/>
      <c r="R1069" s="98"/>
    </row>
    <row r="1070" spans="1:18" ht="15" customHeight="1">
      <c r="A1070" s="292" t="s">
        <v>194</v>
      </c>
      <c r="B1070" s="293"/>
      <c r="C1070" s="298" t="s">
        <v>132</v>
      </c>
      <c r="D1070" s="40" t="s">
        <v>23</v>
      </c>
      <c r="E1070" s="46">
        <v>1.22</v>
      </c>
      <c r="G1070" s="102" t="str">
        <f>CONCATENATE(D1070," - ",E1070,", ")</f>
        <v>Brass scrap - 1.22, </v>
      </c>
      <c r="H1070" s="274"/>
      <c r="I1070" s="98" t="str">
        <f ca="1">IF(J1069&gt;=3,(MID(I1069,2,1)&amp;MID(I1069,4,4)-K1069),CELL("address",Z1070))</f>
        <v>G1071</v>
      </c>
      <c r="J1070" s="98" t="str">
        <f ca="1">IF(J1069&gt;=4,(MID(I1070,1,1)&amp;MID(I1070,2,4)+1),CELL("address",AA1070))</f>
        <v>G1072</v>
      </c>
      <c r="K1070" s="98" t="str">
        <f ca="1">IF(J1069&gt;=5,(MID(J1070,1,1)&amp;MID(J1070,2,4)+1),CELL("address",AB1070))</f>
        <v>G1073</v>
      </c>
      <c r="L1070" s="98" t="str">
        <f ca="1">IF(J1069&gt;=6,(MID(K1070,1,1)&amp;MID(K1070,2,4)+1),CELL("address",AC1070))</f>
        <v>G1074</v>
      </c>
      <c r="M1070" s="98" t="str">
        <f ca="1">IF(J1069&gt;=7,(MID(L1070,1,1)&amp;MID(L1070,2,4)+1),CELL("address",AD1070))</f>
        <v>G1075</v>
      </c>
      <c r="N1070" s="98" t="str">
        <f ca="1">IF(J1069&gt;=8,(MID(M1070,1,1)&amp;MID(M1070,2,4)+1),CELL("address",AE1070))</f>
        <v>$AE$1070</v>
      </c>
      <c r="O1070" s="98" t="str">
        <f ca="1">IF(J1069&gt;=9,(MID(N1070,1,1)&amp;MID(N1070,2,4)+1),CELL("address",AF1070))</f>
        <v>$AF$1070</v>
      </c>
      <c r="P1070" s="98" t="str">
        <f ca="1">IF(J1069&gt;=10,(MID(O1070,1,1)&amp;MID(O1070,2,4)+1),CELL("address",AG1070))</f>
        <v>$AG$1070</v>
      </c>
      <c r="Q1070" s="98" t="str">
        <f ca="1">IF(J1069&gt;=11,(MID(P1070,1,1)&amp;MID(P1070,2,4)+1),CELL("address",AH1070))</f>
        <v>$AH$1070</v>
      </c>
      <c r="R1070" s="98" t="str">
        <f ca="1">IF(J1069&gt;=12,(MID(Q1070,1,1)&amp;MID(Q1070,2,4)+1),CELL("address",AI1070))</f>
        <v>$AI$1070</v>
      </c>
    </row>
    <row r="1071" spans="1:15" ht="15" customHeight="1">
      <c r="A1071" s="294"/>
      <c r="B1071" s="295"/>
      <c r="C1071" s="299"/>
      <c r="D1071" s="40" t="s">
        <v>24</v>
      </c>
      <c r="E1071" s="46">
        <v>0.151</v>
      </c>
      <c r="F1071" s="98"/>
      <c r="G1071" s="102" t="str">
        <f>CONCATENATE(D1071," - ",E1071,", ")</f>
        <v>Misc. Aluminium scrap - 0.151, </v>
      </c>
      <c r="H1071" s="98"/>
      <c r="I1071" s="98"/>
      <c r="J1071" s="98"/>
      <c r="K1071" s="98"/>
      <c r="L1071" s="98"/>
      <c r="M1071" s="98"/>
      <c r="N1071" s="98"/>
      <c r="O1071" s="98"/>
    </row>
    <row r="1072" spans="1:15" ht="15" customHeight="1">
      <c r="A1072" s="294"/>
      <c r="B1072" s="295"/>
      <c r="C1072" s="299"/>
      <c r="D1072" s="40" t="s">
        <v>37</v>
      </c>
      <c r="E1072" s="46">
        <v>0.037</v>
      </c>
      <c r="F1072" s="98"/>
      <c r="G1072" s="102" t="str">
        <f>CONCATENATE(D1072," - ",E1072,", ")</f>
        <v>Burnt Cu scrap - 0.037, </v>
      </c>
      <c r="H1072" s="98"/>
      <c r="I1072" s="98" t="e">
        <f ca="1">IF(G1071&gt;=6,(MID(H1072,1,1)&amp;MID(H1072,2,4)+1),CELL("address",Z1072))</f>
        <v>#VALUE!</v>
      </c>
      <c r="J1072" s="98" t="e">
        <f ca="1">IF(G1071&gt;=7,(MID(I1072,1,1)&amp;MID(I1072,2,4)+1),CELL("address",AA1072))</f>
        <v>#VALUE!</v>
      </c>
      <c r="K1072" s="98" t="e">
        <f ca="1">IF(G1071&gt;=8,(MID(J1072,1,1)&amp;MID(J1072,2,4)+1),CELL("address",AB1072))</f>
        <v>#VALUE!</v>
      </c>
      <c r="L1072" s="98" t="e">
        <f ca="1">IF(G1071&gt;=9,(MID(K1072,1,1)&amp;MID(K1072,2,4)+1),CELL("address",AC1072))</f>
        <v>#VALUE!</v>
      </c>
      <c r="M1072" s="98" t="e">
        <f ca="1">IF(G1071&gt;=10,(MID(L1072,1,1)&amp;MID(L1072,2,4)+1),CELL("address",AD1072))</f>
        <v>#VALUE!</v>
      </c>
      <c r="N1072" s="98" t="e">
        <f ca="1">IF(G1071&gt;=11,(MID(M1072,1,1)&amp;MID(M1072,2,4)+1),CELL("address",AE1072))</f>
        <v>#VALUE!</v>
      </c>
      <c r="O1072" s="98" t="e">
        <f ca="1">IF(G1071&gt;=12,(MID(N1072,1,1)&amp;MID(N1072,2,4)+1),CELL("address",AF1072))</f>
        <v>#VALUE!</v>
      </c>
    </row>
    <row r="1073" spans="1:8" ht="15" customHeight="1">
      <c r="A1073" s="294"/>
      <c r="B1073" s="295"/>
      <c r="C1073" s="299"/>
      <c r="D1073" s="45" t="s">
        <v>75</v>
      </c>
      <c r="E1073" s="46">
        <v>0.088</v>
      </c>
      <c r="G1073" s="102" t="str">
        <f>CONCATENATE(D1073," - ",E1073,", ")</f>
        <v> Iron scrap - 0.088, </v>
      </c>
      <c r="H1073" s="1"/>
    </row>
    <row r="1074" spans="1:8" ht="15" customHeight="1">
      <c r="A1074" s="301"/>
      <c r="B1074" s="302"/>
      <c r="C1074" s="305"/>
      <c r="D1074" s="40" t="s">
        <v>58</v>
      </c>
      <c r="E1074" s="46">
        <v>0.59</v>
      </c>
      <c r="G1074" s="102" t="str">
        <f>CONCATENATE(D1074," - ",E1074,", ")</f>
        <v>Nuts &amp; Bolts scrap - 0.59, </v>
      </c>
      <c r="H1074" s="1"/>
    </row>
    <row r="1075" spans="1:15" ht="15" customHeight="1">
      <c r="A1075" s="51"/>
      <c r="B1075" s="54"/>
      <c r="C1075" s="19"/>
      <c r="D1075" s="54"/>
      <c r="E1075" s="96"/>
      <c r="F1075" s="98"/>
      <c r="G1075" s="98"/>
      <c r="H1075" s="98"/>
      <c r="I1075" s="98"/>
      <c r="J1075" s="98"/>
      <c r="K1075" s="98"/>
      <c r="L1075" s="98"/>
      <c r="M1075" s="98"/>
      <c r="N1075" s="98"/>
      <c r="O1075" s="98"/>
    </row>
    <row r="1076" spans="1:15" ht="15" customHeight="1">
      <c r="A1076" s="280"/>
      <c r="B1076" s="281"/>
      <c r="C1076" s="66"/>
      <c r="D1076" s="66"/>
      <c r="E1076" s="119">
        <f>SUM(E1078:E1078)</f>
        <v>0.021</v>
      </c>
      <c r="F1076" s="98"/>
      <c r="G1076" s="98"/>
      <c r="H1076" s="98"/>
      <c r="I1076" s="98" t="str">
        <f ca="1">IF(G1075&gt;=6,(MID(H1076,1,1)&amp;MID(H1076,2,4)+1),CELL("address",Z1076))</f>
        <v>$Z$1076</v>
      </c>
      <c r="J1076" s="98" t="str">
        <f ca="1">IF(G1075&gt;=7,(MID(I1076,1,1)&amp;MID(I1076,2,4)+1),CELL("address",AA1076))</f>
        <v>$AA$1076</v>
      </c>
      <c r="K1076" s="98" t="str">
        <f ca="1">IF(G1075&gt;=8,(MID(J1076,1,1)&amp;MID(J1076,2,4)+1),CELL("address",AB1076))</f>
        <v>$AB$1076</v>
      </c>
      <c r="L1076" s="98" t="str">
        <f ca="1">IF(G1075&gt;=9,(MID(K1076,1,1)&amp;MID(K1076,2,4)+1),CELL("address",AC1076))</f>
        <v>$AC$1076</v>
      </c>
      <c r="M1076" s="98" t="str">
        <f ca="1">IF(G1075&gt;=10,(MID(L1076,1,1)&amp;MID(L1076,2,4)+1),CELL("address",AD1076))</f>
        <v>$AD$1076</v>
      </c>
      <c r="N1076" s="98" t="str">
        <f ca="1">IF(G1075&gt;=11,(MID(M1076,1,1)&amp;MID(M1076,2,4)+1),CELL("address",AE1076))</f>
        <v>$AE$1076</v>
      </c>
      <c r="O1076" s="98" t="str">
        <f ca="1">IF(G1075&gt;=12,(MID(N1076,1,1)&amp;MID(N1076,2,4)+1),CELL("address",AF1076))</f>
        <v>$AF$1076</v>
      </c>
    </row>
    <row r="1077" spans="1:18" ht="15" customHeight="1">
      <c r="A1077" s="277" t="s">
        <v>5</v>
      </c>
      <c r="B1077" s="277"/>
      <c r="C1077" s="64" t="s">
        <v>17</v>
      </c>
      <c r="D1077" s="65" t="s">
        <v>18</v>
      </c>
      <c r="E1077" s="68" t="s">
        <v>7</v>
      </c>
      <c r="G1077" s="184" t="str">
        <f>CONCATENATE("Misc. Healthy parts/ Non Ferrous  Scrap, Lying at ",C1078,". Quantity in MT - ")</f>
        <v>Misc. Healthy parts/ Non Ferrous  Scrap, Lying at OL Barnala. Quantity in MT - </v>
      </c>
      <c r="H1077" s="274" t="str">
        <f ca="1">CONCATENATE(G1077,G1078,(INDIRECT(I1078)),(INDIRECT(J1078)),(INDIRECT(K1078)),(INDIRECT(L1078)),(INDIRECT(M1078)),(INDIRECT(N1078)),(INDIRECT(O1078)),(INDIRECT(P1078)),(INDIRECT(Q1078)),(INDIRECT(R1078)),".")</f>
        <v>Misc. Healthy parts/ Non Ferrous  Scrap, Lying at OL Barnala. Quantity in MT - Misc. copper scrap - 0.021, .</v>
      </c>
      <c r="I1077" s="98" t="str">
        <f aca="true" ca="1" t="array" ref="I1077">CELL("address",INDEX(G1077:G1101,MATCH(TRUE,ISBLANK(G1077:G1101),0)))</f>
        <v>$G$1079</v>
      </c>
      <c r="J1077" s="98">
        <f aca="true" t="array" ref="J1077">MATCH(TRUE,ISBLANK(G1077:G1101),0)</f>
        <v>3</v>
      </c>
      <c r="K1077" s="98">
        <f>J1077-3</f>
        <v>0</v>
      </c>
      <c r="L1077" s="98"/>
      <c r="M1077" s="98"/>
      <c r="N1077" s="98"/>
      <c r="O1077" s="98"/>
      <c r="P1077" s="98"/>
      <c r="Q1077" s="98"/>
      <c r="R1077" s="98"/>
    </row>
    <row r="1078" spans="1:18" ht="15" customHeight="1">
      <c r="A1078" s="277" t="s">
        <v>195</v>
      </c>
      <c r="B1078" s="277"/>
      <c r="C1078" s="258" t="s">
        <v>190</v>
      </c>
      <c r="D1078" s="60" t="s">
        <v>111</v>
      </c>
      <c r="E1078" s="69">
        <v>0.021</v>
      </c>
      <c r="G1078" s="102" t="str">
        <f>CONCATENATE(D1078," - ",E1078,", ")</f>
        <v>Misc. copper scrap - 0.021, </v>
      </c>
      <c r="H1078" s="274"/>
      <c r="I1078" s="98" t="str">
        <f ca="1">IF(J1077&gt;=3,(MID(I1077,2,1)&amp;MID(I1077,4,4)-K1077),CELL("address",Z1078))</f>
        <v>G1079</v>
      </c>
      <c r="J1078" s="98" t="str">
        <f ca="1">IF(J1077&gt;=4,(MID(I1078,1,1)&amp;MID(I1078,2,4)+1),CELL("address",AA1078))</f>
        <v>$AA$1078</v>
      </c>
      <c r="K1078" s="98" t="str">
        <f ca="1">IF(J1077&gt;=5,(MID(J1078,1,1)&amp;MID(J1078,2,4)+1),CELL("address",AB1078))</f>
        <v>$AB$1078</v>
      </c>
      <c r="L1078" s="98" t="str">
        <f ca="1">IF(J1077&gt;=6,(MID(K1078,1,1)&amp;MID(K1078,2,4)+1),CELL("address",AC1078))</f>
        <v>$AC$1078</v>
      </c>
      <c r="M1078" s="98" t="str">
        <f ca="1">IF(J1077&gt;=7,(MID(L1078,1,1)&amp;MID(L1078,2,4)+1),CELL("address",AD1078))</f>
        <v>$AD$1078</v>
      </c>
      <c r="N1078" s="98" t="str">
        <f ca="1">IF(J1077&gt;=8,(MID(M1078,1,1)&amp;MID(M1078,2,4)+1),CELL("address",AE1078))</f>
        <v>$AE$1078</v>
      </c>
      <c r="O1078" s="98" t="str">
        <f ca="1">IF(J1077&gt;=9,(MID(N1078,1,1)&amp;MID(N1078,2,4)+1),CELL("address",AF1078))</f>
        <v>$AF$1078</v>
      </c>
      <c r="P1078" s="98" t="str">
        <f ca="1">IF(J1077&gt;=10,(MID(O1078,1,1)&amp;MID(O1078,2,4)+1),CELL("address",AG1078))</f>
        <v>$AG$1078</v>
      </c>
      <c r="Q1078" s="98" t="str">
        <f ca="1">IF(J1077&gt;=11,(MID(P1078,1,1)&amp;MID(P1078,2,4)+1),CELL("address",AH1078))</f>
        <v>$AH$1078</v>
      </c>
      <c r="R1078" s="98" t="str">
        <f ca="1">IF(J1077&gt;=12,(MID(Q1078,1,1)&amp;MID(Q1078,2,4)+1),CELL("address",AI1078))</f>
        <v>$AI$1078</v>
      </c>
    </row>
    <row r="1079" spans="1:8" ht="15" customHeight="1">
      <c r="A1079" s="35"/>
      <c r="B1079" s="1"/>
      <c r="C1079" s="1"/>
      <c r="D1079" s="1"/>
      <c r="E1079" s="1"/>
      <c r="H1079" s="1"/>
    </row>
    <row r="1080" spans="1:8" ht="15" customHeight="1">
      <c r="A1080" s="280"/>
      <c r="B1080" s="281"/>
      <c r="C1080" s="66"/>
      <c r="D1080" s="66"/>
      <c r="E1080" s="119">
        <f>SUM(E1082:E1086)</f>
        <v>3.0719999999999996</v>
      </c>
      <c r="H1080" s="1"/>
    </row>
    <row r="1081" spans="1:18" ht="15" customHeight="1">
      <c r="A1081" s="277" t="s">
        <v>5</v>
      </c>
      <c r="B1081" s="277"/>
      <c r="C1081" s="64" t="s">
        <v>17</v>
      </c>
      <c r="D1081" s="65" t="s">
        <v>18</v>
      </c>
      <c r="E1081" s="68" t="s">
        <v>7</v>
      </c>
      <c r="F1081" s="98"/>
      <c r="G1081" s="184" t="str">
        <f>CONCATENATE("Misc. Healthy parts/ Non Ferrous  Scrap, Lying at ",C1082,". Quantity in MT - ")</f>
        <v>Misc. Healthy parts/ Non Ferrous  Scrap, Lying at TRY Moga. Quantity in MT - </v>
      </c>
      <c r="H1081" s="274" t="str">
        <f ca="1">CONCATENATE(G1081,G1082,(INDIRECT(I1082)),(INDIRECT(J1082)),(INDIRECT(K1082)),(INDIRECT(L1082)),(INDIRECT(M1082)),(INDIRECT(N1082)),(INDIRECT(O1082)),(INDIRECT(P1082)),(INDIRECT(Q1082)),(INDIRECT(R1082)),".")</f>
        <v>Misc. Healthy parts/ Non Ferrous  Scrap, Lying at TRY Moga. Quantity in MT - Brass scrap - 1.769, Misc. Alumn. Scrap - 0.301, Iron scrap - 0.125, Burnt Cu scrap - 0.062, Nuts &amp; Bolts scrap - 0.815, .</v>
      </c>
      <c r="I1081" s="98" t="str">
        <f aca="true" ca="1" t="array" ref="I1081">CELL("address",INDEX(G1081:G1105,MATCH(TRUE,ISBLANK(G1081:G1105),0)))</f>
        <v>$G$1087</v>
      </c>
      <c r="J1081" s="98">
        <f aca="true" t="array" ref="J1081">MATCH(TRUE,ISBLANK(G1081:G1105),0)</f>
        <v>7</v>
      </c>
      <c r="K1081" s="98">
        <f>J1081-3</f>
        <v>4</v>
      </c>
      <c r="L1081" s="98"/>
      <c r="M1081" s="98"/>
      <c r="N1081" s="98"/>
      <c r="O1081" s="98"/>
      <c r="P1081" s="98"/>
      <c r="Q1081" s="98"/>
      <c r="R1081" s="98"/>
    </row>
    <row r="1082" spans="1:18" ht="15" customHeight="1">
      <c r="A1082" s="277" t="s">
        <v>235</v>
      </c>
      <c r="B1082" s="277"/>
      <c r="C1082" s="284" t="s">
        <v>222</v>
      </c>
      <c r="D1082" s="34" t="s">
        <v>23</v>
      </c>
      <c r="E1082" s="171">
        <v>1.769</v>
      </c>
      <c r="F1082" s="98">
        <v>0.911</v>
      </c>
      <c r="G1082" s="102" t="str">
        <f>CONCATENATE(D1082," - ",E1082,", ")</f>
        <v>Brass scrap - 1.769, </v>
      </c>
      <c r="H1082" s="274"/>
      <c r="I1082" s="98" t="str">
        <f ca="1">IF(J1081&gt;=3,(MID(I1081,2,1)&amp;MID(I1081,4,4)-K1081),CELL("address",Z1082))</f>
        <v>G1083</v>
      </c>
      <c r="J1082" s="98" t="str">
        <f ca="1">IF(J1081&gt;=4,(MID(I1082,1,1)&amp;MID(I1082,2,4)+1),CELL("address",AA1082))</f>
        <v>G1084</v>
      </c>
      <c r="K1082" s="98" t="str">
        <f ca="1">IF(J1081&gt;=5,(MID(J1082,1,1)&amp;MID(J1082,2,4)+1),CELL("address",AB1082))</f>
        <v>G1085</v>
      </c>
      <c r="L1082" s="98" t="str">
        <f ca="1">IF(J1081&gt;=6,(MID(K1082,1,1)&amp;MID(K1082,2,4)+1),CELL("address",AC1082))</f>
        <v>G1086</v>
      </c>
      <c r="M1082" s="98" t="str">
        <f ca="1">IF(J1081&gt;=7,(MID(L1082,1,1)&amp;MID(L1082,2,4)+1),CELL("address",AD1082))</f>
        <v>G1087</v>
      </c>
      <c r="N1082" s="98" t="str">
        <f ca="1">IF(J1081&gt;=8,(MID(M1082,1,1)&amp;MID(M1082,2,4)+1),CELL("address",AE1082))</f>
        <v>$AE$1082</v>
      </c>
      <c r="O1082" s="98" t="str">
        <f ca="1">IF(J1081&gt;=9,(MID(N1082,1,1)&amp;MID(N1082,2,4)+1),CELL("address",AF1082))</f>
        <v>$AF$1082</v>
      </c>
      <c r="P1082" s="98" t="str">
        <f ca="1">IF(J1081&gt;=10,(MID(O1082,1,1)&amp;MID(O1082,2,4)+1),CELL("address",AG1082))</f>
        <v>$AG$1082</v>
      </c>
      <c r="Q1082" s="98" t="str">
        <f ca="1">IF(J1081&gt;=11,(MID(P1082,1,1)&amp;MID(P1082,2,4)+1),CELL("address",AH1082))</f>
        <v>$AH$1082</v>
      </c>
      <c r="R1082" s="98" t="str">
        <f ca="1">IF(J1081&gt;=12,(MID(Q1082,1,1)&amp;MID(Q1082,2,4)+1),CELL("address",AI1082))</f>
        <v>$AI$1082</v>
      </c>
    </row>
    <row r="1083" spans="1:15" ht="15" customHeight="1">
      <c r="A1083" s="277"/>
      <c r="B1083" s="277"/>
      <c r="C1083" s="284"/>
      <c r="D1083" s="34" t="s">
        <v>31</v>
      </c>
      <c r="E1083" s="238">
        <v>0.301</v>
      </c>
      <c r="F1083" s="98">
        <v>0.125</v>
      </c>
      <c r="G1083" s="102" t="str">
        <f>CONCATENATE(D1083," - ",E1083,", ")</f>
        <v>Misc. Alumn. Scrap - 0.301, </v>
      </c>
      <c r="H1083" s="98"/>
      <c r="I1083" s="98"/>
      <c r="J1083" s="98"/>
      <c r="K1083" s="98"/>
      <c r="L1083" s="98"/>
      <c r="M1083" s="98"/>
      <c r="N1083" s="98"/>
      <c r="O1083" s="98"/>
    </row>
    <row r="1084" spans="1:8" ht="15" customHeight="1">
      <c r="A1084" s="277"/>
      <c r="B1084" s="277"/>
      <c r="C1084" s="284"/>
      <c r="D1084" s="267" t="s">
        <v>27</v>
      </c>
      <c r="E1084" s="238">
        <v>0.125</v>
      </c>
      <c r="F1084" s="1">
        <v>0.061</v>
      </c>
      <c r="G1084" s="102" t="str">
        <f>CONCATENATE(D1084," - ",E1084,", ")</f>
        <v>Iron scrap - 0.125, </v>
      </c>
      <c r="H1084" s="1"/>
    </row>
    <row r="1085" spans="1:8" ht="15" customHeight="1">
      <c r="A1085" s="277"/>
      <c r="B1085" s="277"/>
      <c r="C1085" s="284"/>
      <c r="D1085" s="267" t="s">
        <v>37</v>
      </c>
      <c r="E1085" s="169">
        <v>0.062</v>
      </c>
      <c r="F1085" s="1" t="s">
        <v>320</v>
      </c>
      <c r="G1085" s="102" t="str">
        <f>CONCATENATE(D1085," - ",E1085,", ")</f>
        <v>Burnt Cu scrap - 0.062, </v>
      </c>
      <c r="H1085" s="1"/>
    </row>
    <row r="1086" spans="1:8" ht="15" customHeight="1">
      <c r="A1086" s="277"/>
      <c r="B1086" s="277"/>
      <c r="C1086" s="284"/>
      <c r="D1086" s="267" t="s">
        <v>58</v>
      </c>
      <c r="E1086" s="169">
        <v>0.815</v>
      </c>
      <c r="F1086" s="1" t="s">
        <v>320</v>
      </c>
      <c r="G1086" s="239" t="str">
        <f>CONCATENATE(D1086," - ",E1086,", ")</f>
        <v>Nuts &amp; Bolts scrap - 0.815, </v>
      </c>
      <c r="H1086" s="1"/>
    </row>
    <row r="1087" spans="1:8" ht="15" customHeight="1">
      <c r="A1087" s="35"/>
      <c r="B1087" s="1"/>
      <c r="C1087" s="1"/>
      <c r="D1087" s="1"/>
      <c r="E1087" s="1"/>
      <c r="H1087" s="1"/>
    </row>
    <row r="1088" spans="1:15" ht="15" customHeight="1">
      <c r="A1088" s="280"/>
      <c r="B1088" s="281"/>
      <c r="C1088" s="66"/>
      <c r="D1088" s="66"/>
      <c r="E1088" s="119">
        <f>SUM(E1090:E1091)</f>
        <v>0.346</v>
      </c>
      <c r="F1088" s="98"/>
      <c r="G1088" s="98"/>
      <c r="H1088" s="98"/>
      <c r="I1088" s="98"/>
      <c r="J1088" s="98"/>
      <c r="K1088" s="98"/>
      <c r="L1088" s="98"/>
      <c r="M1088" s="98"/>
      <c r="N1088" s="98"/>
      <c r="O1088" s="98"/>
    </row>
    <row r="1089" spans="1:18" ht="15" customHeight="1">
      <c r="A1089" s="277" t="s">
        <v>5</v>
      </c>
      <c r="B1089" s="277"/>
      <c r="C1089" s="64" t="s">
        <v>17</v>
      </c>
      <c r="D1089" s="65" t="s">
        <v>18</v>
      </c>
      <c r="E1089" s="68" t="s">
        <v>7</v>
      </c>
      <c r="F1089" s="98"/>
      <c r="G1089" s="184" t="str">
        <f>CONCATENATE("Misc. Healthy parts/ Non Ferrous  Scrap, Lying at ",C1090,". Quantity in MT - ")</f>
        <v>Misc. Healthy parts/ Non Ferrous  Scrap, Lying at CS Ferozepur. Quantity in MT - </v>
      </c>
      <c r="H1089" s="274" t="str">
        <f ca="1">CONCATENATE(G1089,G1090,(INDIRECT(I1090)),(INDIRECT(J1090)),(INDIRECT(K1090)),(INDIRECT(L1090)),(INDIRECT(M1090)),(INDIRECT(N1090)),(INDIRECT(O1090)),(INDIRECT(P1090)),(INDIRECT(Q1090)),(INDIRECT(R1090)),".")</f>
        <v>Misc. Healthy parts/ Non Ferrous  Scrap, Lying at CS Ferozepur. Quantity in MT - Misc. copper scrap - 0.174, All Alumn. Conductor Scrap - 0.172, .</v>
      </c>
      <c r="I1089" s="98" t="str">
        <f aca="true" ca="1" t="array" ref="I1089">CELL("address",INDEX(G1089:G1111,MATCH(TRUE,ISBLANK(G1089:G1111),0)))</f>
        <v>$G$1092</v>
      </c>
      <c r="J1089" s="98">
        <f aca="true" t="array" ref="J1089">MATCH(TRUE,ISBLANK(G1089:G1111),0)</f>
        <v>4</v>
      </c>
      <c r="K1089" s="98">
        <f>J1089-3</f>
        <v>1</v>
      </c>
      <c r="L1089" s="98"/>
      <c r="M1089" s="98"/>
      <c r="N1089" s="98"/>
      <c r="O1089" s="98"/>
      <c r="P1089" s="98"/>
      <c r="Q1089" s="98"/>
      <c r="R1089" s="98"/>
    </row>
    <row r="1090" spans="1:18" ht="15" customHeight="1">
      <c r="A1090" s="277" t="s">
        <v>250</v>
      </c>
      <c r="B1090" s="277"/>
      <c r="C1090" s="284" t="s">
        <v>99</v>
      </c>
      <c r="D1090" s="60" t="s">
        <v>111</v>
      </c>
      <c r="E1090" s="69">
        <v>0.174</v>
      </c>
      <c r="G1090" s="102" t="str">
        <f>CONCATENATE(D1090," - ",E1090,", ")</f>
        <v>Misc. copper scrap - 0.174, </v>
      </c>
      <c r="H1090" s="274"/>
      <c r="I1090" s="98" t="str">
        <f ca="1">IF(J1089&gt;=3,(MID(I1089,2,1)&amp;MID(I1089,4,4)-K1089),CELL("address",Z1090))</f>
        <v>G1091</v>
      </c>
      <c r="J1090" s="98" t="str">
        <f ca="1">IF(J1089&gt;=4,(MID(I1090,1,1)&amp;MID(I1090,2,4)+1),CELL("address",AA1090))</f>
        <v>G1092</v>
      </c>
      <c r="K1090" s="98" t="str">
        <f ca="1">IF(J1089&gt;=5,(MID(J1090,1,1)&amp;MID(J1090,2,4)+1),CELL("address",AB1090))</f>
        <v>$AB$1090</v>
      </c>
      <c r="L1090" s="98" t="str">
        <f ca="1">IF(J1089&gt;=6,(MID(K1090,1,1)&amp;MID(K1090,2,4)+1),CELL("address",AC1090))</f>
        <v>$AC$1090</v>
      </c>
      <c r="M1090" s="98" t="str">
        <f ca="1">IF(J1089&gt;=7,(MID(L1090,1,1)&amp;MID(L1090,2,4)+1),CELL("address",AD1090))</f>
        <v>$AD$1090</v>
      </c>
      <c r="N1090" s="98" t="str">
        <f ca="1">IF(J1089&gt;=8,(MID(M1090,1,1)&amp;MID(M1090,2,4)+1),CELL("address",AE1090))</f>
        <v>$AE$1090</v>
      </c>
      <c r="O1090" s="98" t="str">
        <f ca="1">IF(J1089&gt;=9,(MID(N1090,1,1)&amp;MID(N1090,2,4)+1),CELL("address",AF1090))</f>
        <v>$AF$1090</v>
      </c>
      <c r="P1090" s="98" t="str">
        <f ca="1">IF(J1089&gt;=10,(MID(O1090,1,1)&amp;MID(O1090,2,4)+1),CELL("address",AG1090))</f>
        <v>$AG$1090</v>
      </c>
      <c r="Q1090" s="98" t="str">
        <f ca="1">IF(J1089&gt;=11,(MID(P1090,1,1)&amp;MID(P1090,2,4)+1),CELL("address",AH1090))</f>
        <v>$AH$1090</v>
      </c>
      <c r="R1090" s="98" t="str">
        <f ca="1">IF(J1089&gt;=12,(MID(Q1090,1,1)&amp;MID(Q1090,2,4)+1),CELL("address",AI1090))</f>
        <v>$AI$1090</v>
      </c>
    </row>
    <row r="1091" spans="1:8" ht="15" customHeight="1">
      <c r="A1091" s="277"/>
      <c r="B1091" s="277"/>
      <c r="C1091" s="284"/>
      <c r="D1091" s="45" t="s">
        <v>32</v>
      </c>
      <c r="E1091" s="46">
        <v>0.172</v>
      </c>
      <c r="G1091" s="102" t="str">
        <f>CONCATENATE(D1091," - ",E1091,", ")</f>
        <v>All Alumn. Conductor Scrap - 0.172, </v>
      </c>
      <c r="H1091" s="1"/>
    </row>
    <row r="1092" spans="1:8" ht="15" customHeight="1">
      <c r="A1092" s="35"/>
      <c r="B1092" s="1"/>
      <c r="C1092" s="1"/>
      <c r="D1092" s="1"/>
      <c r="E1092" s="1"/>
      <c r="H1092" s="1"/>
    </row>
    <row r="1093" spans="1:8" ht="15" customHeight="1">
      <c r="A1093" s="280"/>
      <c r="B1093" s="281"/>
      <c r="C1093" s="66"/>
      <c r="D1093" s="66"/>
      <c r="E1093" s="119">
        <f>SUM(E1095:E1098)</f>
        <v>0.23000000000000004</v>
      </c>
      <c r="H1093" s="1"/>
    </row>
    <row r="1094" spans="1:18" ht="15" customHeight="1">
      <c r="A1094" s="277" t="s">
        <v>5</v>
      </c>
      <c r="B1094" s="277"/>
      <c r="C1094" s="64" t="s">
        <v>17</v>
      </c>
      <c r="D1094" s="65" t="s">
        <v>18</v>
      </c>
      <c r="E1094" s="68" t="s">
        <v>7</v>
      </c>
      <c r="G1094" s="184" t="str">
        <f>CONCATENATE("Misc. Healthy parts/ Non Ferrous  Scrap, Lying at ",C1095,". Quantity in MT - ")</f>
        <v>Misc. Healthy parts/ Non Ferrous  Scrap, Lying at TRY Barnala. Quantity in MT - </v>
      </c>
      <c r="H1094" s="274" t="str">
        <f ca="1">CONCATENATE(G1094,G1095,(INDIRECT(I1095)),(INDIRECT(J1095)),(INDIRECT(K1095)),(INDIRECT(L1095)),(INDIRECT(M1095)),(INDIRECT(N1095)),(INDIRECT(O1095)),(INDIRECT(P1095)),(INDIRECT(Q1095)),(INDIRECT(R1095)),".")</f>
        <v>Misc. Healthy parts/ Non Ferrous  Scrap, Lying at TRY Barnala. Quantity in MT - Brass scrap - 0.2, Misc. Alumn. Scrap - 0.011, Iron scrap - 0.011, Burnt Cu scrap - 0.008, .</v>
      </c>
      <c r="I1094" s="98" t="str">
        <f aca="true" ca="1" t="array" ref="I1094">CELL("address",INDEX(G1094:G1116,MATCH(TRUE,ISBLANK(G1094:G1116),0)))</f>
        <v>$G$1099</v>
      </c>
      <c r="J1094" s="98">
        <f aca="true" t="array" ref="J1094">MATCH(TRUE,ISBLANK(G1094:G1116),0)</f>
        <v>6</v>
      </c>
      <c r="K1094" s="98">
        <f>J1094-3</f>
        <v>3</v>
      </c>
      <c r="L1094" s="98"/>
      <c r="M1094" s="98"/>
      <c r="N1094" s="98"/>
      <c r="O1094" s="98"/>
      <c r="P1094" s="98"/>
      <c r="Q1094" s="98"/>
      <c r="R1094" s="98"/>
    </row>
    <row r="1095" spans="1:18" ht="13.5" customHeight="1">
      <c r="A1095" s="277" t="s">
        <v>266</v>
      </c>
      <c r="B1095" s="277"/>
      <c r="C1095" s="284" t="s">
        <v>330</v>
      </c>
      <c r="D1095" s="45" t="s">
        <v>23</v>
      </c>
      <c r="E1095" s="120">
        <v>0.2</v>
      </c>
      <c r="F1095" s="98"/>
      <c r="G1095" s="102" t="str">
        <f>CONCATENATE(D1095," - ",E1095,", ")</f>
        <v>Brass scrap - 0.2, </v>
      </c>
      <c r="H1095" s="274"/>
      <c r="I1095" s="98" t="str">
        <f ca="1">IF(J1094&gt;=3,(MID(I1094,2,1)&amp;MID(I1094,4,4)-K1094),CELL("address",Z1095))</f>
        <v>G1096</v>
      </c>
      <c r="J1095" s="98" t="str">
        <f ca="1">IF(J1094&gt;=4,(MID(I1095,1,1)&amp;MID(I1095,2,4)+1),CELL("address",AA1095))</f>
        <v>G1097</v>
      </c>
      <c r="K1095" s="98" t="str">
        <f ca="1">IF(J1094&gt;=5,(MID(J1095,1,1)&amp;MID(J1095,2,4)+1),CELL("address",AB1095))</f>
        <v>G1098</v>
      </c>
      <c r="L1095" s="98" t="str">
        <f ca="1">IF(J1094&gt;=6,(MID(K1095,1,1)&amp;MID(K1095,2,4)+1),CELL("address",AC1095))</f>
        <v>G1099</v>
      </c>
      <c r="M1095" s="98" t="str">
        <f ca="1">IF(J1094&gt;=7,(MID(L1095,1,1)&amp;MID(L1095,2,4)+1),CELL("address",AD1095))</f>
        <v>$AD$1095</v>
      </c>
      <c r="N1095" s="98" t="str">
        <f ca="1">IF(J1094&gt;=8,(MID(M1095,1,1)&amp;MID(M1095,2,4)+1),CELL("address",AE1095))</f>
        <v>$AE$1095</v>
      </c>
      <c r="O1095" s="98" t="str">
        <f ca="1">IF(J1094&gt;=9,(MID(N1095,1,1)&amp;MID(N1095,2,4)+1),CELL("address",AF1095))</f>
        <v>$AF$1095</v>
      </c>
      <c r="P1095" s="98" t="str">
        <f ca="1">IF(J1094&gt;=10,(MID(O1095,1,1)&amp;MID(O1095,2,4)+1),CELL("address",AG1095))</f>
        <v>$AG$1095</v>
      </c>
      <c r="Q1095" s="98" t="str">
        <f ca="1">IF(J1094&gt;=11,(MID(P1095,1,1)&amp;MID(P1095,2,4)+1),CELL("address",AH1095))</f>
        <v>$AH$1095</v>
      </c>
      <c r="R1095" s="98" t="str">
        <f ca="1">IF(J1094&gt;=12,(MID(Q1095,1,1)&amp;MID(Q1095,2,4)+1),CELL("address",AI1095))</f>
        <v>$AI$1095</v>
      </c>
    </row>
    <row r="1096" spans="1:15" ht="15" customHeight="1">
      <c r="A1096" s="277"/>
      <c r="B1096" s="277"/>
      <c r="C1096" s="284"/>
      <c r="D1096" s="45" t="s">
        <v>31</v>
      </c>
      <c r="E1096" s="68">
        <v>0.011</v>
      </c>
      <c r="F1096" s="98"/>
      <c r="G1096" s="102" t="str">
        <f>CONCATENATE(D1096," - ",E1096,", ")</f>
        <v>Misc. Alumn. Scrap - 0.011, </v>
      </c>
      <c r="H1096" s="98"/>
      <c r="I1096" s="98" t="e">
        <f ca="1">IF(G1095&gt;=6,(MID(H1096,1,1)&amp;MID(H1096,2,4)+1),CELL("address",Z1096))</f>
        <v>#VALUE!</v>
      </c>
      <c r="J1096" s="98" t="e">
        <f ca="1">IF(G1095&gt;=7,(MID(I1096,1,1)&amp;MID(I1096,2,4)+1),CELL("address",AA1096))</f>
        <v>#VALUE!</v>
      </c>
      <c r="K1096" s="98" t="e">
        <f ca="1">IF(G1095&gt;=8,(MID(J1096,1,1)&amp;MID(J1096,2,4)+1),CELL("address",AB1096))</f>
        <v>#VALUE!</v>
      </c>
      <c r="L1096" s="98" t="e">
        <f ca="1">IF(G1095&gt;=9,(MID(K1096,1,1)&amp;MID(K1096,2,4)+1),CELL("address",AC1096))</f>
        <v>#VALUE!</v>
      </c>
      <c r="M1096" s="98" t="e">
        <f ca="1">IF(G1095&gt;=10,(MID(L1096,1,1)&amp;MID(L1096,2,4)+1),CELL("address",AD1096))</f>
        <v>#VALUE!</v>
      </c>
      <c r="N1096" s="98" t="e">
        <f ca="1">IF(G1095&gt;=11,(MID(M1096,1,1)&amp;MID(M1096,2,4)+1),CELL("address",AE1096))</f>
        <v>#VALUE!</v>
      </c>
      <c r="O1096" s="98" t="e">
        <f ca="1">IF(G1095&gt;=12,(MID(N1096,1,1)&amp;MID(N1096,2,4)+1),CELL("address",AF1096))</f>
        <v>#VALUE!</v>
      </c>
    </row>
    <row r="1097" spans="1:8" ht="15" customHeight="1">
      <c r="A1097" s="277"/>
      <c r="B1097" s="277"/>
      <c r="C1097" s="284"/>
      <c r="D1097" s="40" t="s">
        <v>27</v>
      </c>
      <c r="E1097" s="68">
        <v>0.011</v>
      </c>
      <c r="G1097" s="102" t="str">
        <f>CONCATENATE(D1097," - ",E1097,", ")</f>
        <v>Iron scrap - 0.011, </v>
      </c>
      <c r="H1097" s="1"/>
    </row>
    <row r="1098" spans="1:8" ht="15" customHeight="1">
      <c r="A1098" s="277"/>
      <c r="B1098" s="277"/>
      <c r="C1098" s="284"/>
      <c r="D1098" s="40" t="s">
        <v>37</v>
      </c>
      <c r="E1098" s="138">
        <v>0.008</v>
      </c>
      <c r="G1098" s="102" t="str">
        <f>CONCATENATE(D1098," - ",E1098,", ")</f>
        <v>Burnt Cu scrap - 0.008, </v>
      </c>
      <c r="H1098" s="1"/>
    </row>
    <row r="1099" spans="1:8" ht="15" customHeight="1">
      <c r="A1099" s="35"/>
      <c r="B1099" s="1"/>
      <c r="C1099" s="1"/>
      <c r="D1099" s="1"/>
      <c r="E1099" s="1"/>
      <c r="H1099" s="1"/>
    </row>
    <row r="1100" spans="1:8" ht="15" customHeight="1">
      <c r="A1100" s="280"/>
      <c r="B1100" s="281"/>
      <c r="C1100" s="66"/>
      <c r="D1100" s="66"/>
      <c r="E1100" s="119">
        <f>SUM(E1102:E1106)</f>
        <v>2.958</v>
      </c>
      <c r="H1100" s="1"/>
    </row>
    <row r="1101" spans="1:18" ht="15" customHeight="1">
      <c r="A1101" s="277" t="s">
        <v>5</v>
      </c>
      <c r="B1101" s="277"/>
      <c r="C1101" s="64" t="s">
        <v>17</v>
      </c>
      <c r="D1101" s="65" t="s">
        <v>18</v>
      </c>
      <c r="E1101" s="68" t="s">
        <v>7</v>
      </c>
      <c r="G1101" s="184" t="str">
        <f>CONCATENATE("Misc. Healthy parts/ Non Ferrous  Scrap, Lying at ",C1102,". Quantity in MT - ")</f>
        <v>Misc. Healthy parts/ Non Ferrous  Scrap, Lying at TRY Sangrur. Quantity in MT - </v>
      </c>
      <c r="H1101" s="274" t="str">
        <f ca="1">CONCATENATE(G1101,G1102,(INDIRECT(I1102)),(INDIRECT(J1102)),(INDIRECT(K1102)),(INDIRECT(L1102)),(INDIRECT(M1102)),(INDIRECT(N1102)),(INDIRECT(O1102)),(INDIRECT(P1102)),(INDIRECT(Q1102)),(INDIRECT(R1102)),".")</f>
        <v>Misc. Healthy parts/ Non Ferrous  Scrap, Lying at TRY Sangrur. Quantity in MT - Brass scrap - 1.56, Misc. Alumn. Scrap - 0.125, Burnt Cu scrap - 0.043, Iron scrap - 0.177, Nuts &amp; Bolts scrap - 1.053, .</v>
      </c>
      <c r="I1101" s="98" t="str">
        <f aca="true" ca="1" t="array" ref="I1101">CELL("address",INDEX(G1101:G1125,MATCH(TRUE,ISBLANK(G1101:G1125),0)))</f>
        <v>$G$1107</v>
      </c>
      <c r="J1101" s="98">
        <f aca="true" t="array" ref="J1101">MATCH(TRUE,ISBLANK(G1101:G1125),0)</f>
        <v>7</v>
      </c>
      <c r="K1101" s="98">
        <f>J1101-3</f>
        <v>4</v>
      </c>
      <c r="L1101" s="98"/>
      <c r="M1101" s="98"/>
      <c r="N1101" s="98"/>
      <c r="O1101" s="98"/>
      <c r="P1101" s="98"/>
      <c r="Q1101" s="98"/>
      <c r="R1101" s="98"/>
    </row>
    <row r="1102" spans="1:18" ht="15" customHeight="1">
      <c r="A1102" s="277" t="s">
        <v>271</v>
      </c>
      <c r="B1102" s="277"/>
      <c r="C1102" s="284" t="s">
        <v>135</v>
      </c>
      <c r="D1102" s="45" t="s">
        <v>23</v>
      </c>
      <c r="E1102" s="158">
        <v>1.56</v>
      </c>
      <c r="G1102" s="102" t="str">
        <f>CONCATENATE(D1102," - ",E1102,", ")</f>
        <v>Brass scrap - 1.56, </v>
      </c>
      <c r="H1102" s="274"/>
      <c r="I1102" s="98" t="str">
        <f ca="1">IF(J1101&gt;=3,(MID(I1101,2,1)&amp;MID(I1101,4,4)-K1101),CELL("address",Z1102))</f>
        <v>G1103</v>
      </c>
      <c r="J1102" s="98" t="str">
        <f ca="1">IF(J1101&gt;=4,(MID(I1102,1,1)&amp;MID(I1102,2,4)+1),CELL("address",AA1102))</f>
        <v>G1104</v>
      </c>
      <c r="K1102" s="98" t="str">
        <f ca="1">IF(J1101&gt;=5,(MID(J1102,1,1)&amp;MID(J1102,2,4)+1),CELL("address",AB1102))</f>
        <v>G1105</v>
      </c>
      <c r="L1102" s="98" t="str">
        <f ca="1">IF(J1101&gt;=6,(MID(K1102,1,1)&amp;MID(K1102,2,4)+1),CELL("address",AC1102))</f>
        <v>G1106</v>
      </c>
      <c r="M1102" s="98" t="str">
        <f ca="1">IF(J1101&gt;=7,(MID(L1102,1,1)&amp;MID(L1102,2,4)+1),CELL("address",AD1102))</f>
        <v>G1107</v>
      </c>
      <c r="N1102" s="98" t="str">
        <f ca="1">IF(J1101&gt;=8,(MID(M1102,1,1)&amp;MID(M1102,2,4)+1),CELL("address",AE1102))</f>
        <v>$AE$1102</v>
      </c>
      <c r="O1102" s="98" t="str">
        <f ca="1">IF(J1101&gt;=9,(MID(N1102,1,1)&amp;MID(N1102,2,4)+1),CELL("address",AF1102))</f>
        <v>$AF$1102</v>
      </c>
      <c r="P1102" s="98" t="str">
        <f ca="1">IF(J1101&gt;=10,(MID(O1102,1,1)&amp;MID(O1102,2,4)+1),CELL("address",AG1102))</f>
        <v>$AG$1102</v>
      </c>
      <c r="Q1102" s="98" t="str">
        <f ca="1">IF(J1101&gt;=11,(MID(P1102,1,1)&amp;MID(P1102,2,4)+1),CELL("address",AH1102))</f>
        <v>$AH$1102</v>
      </c>
      <c r="R1102" s="98" t="str">
        <f ca="1">IF(J1101&gt;=12,(MID(Q1102,1,1)&amp;MID(Q1102,2,4)+1),CELL("address",AI1102))</f>
        <v>$AI$1102</v>
      </c>
    </row>
    <row r="1103" spans="1:15" ht="15" customHeight="1">
      <c r="A1103" s="277"/>
      <c r="B1103" s="277"/>
      <c r="C1103" s="284"/>
      <c r="D1103" s="45" t="s">
        <v>31</v>
      </c>
      <c r="E1103" s="138">
        <v>0.125</v>
      </c>
      <c r="F1103" s="98"/>
      <c r="G1103" s="102" t="str">
        <f>CONCATENATE(D1103," - ",E1103,", ")</f>
        <v>Misc. Alumn. Scrap - 0.125, </v>
      </c>
      <c r="H1103" s="98"/>
      <c r="I1103" s="98"/>
      <c r="J1103" s="98"/>
      <c r="K1103" s="98"/>
      <c r="L1103" s="98"/>
      <c r="M1103" s="98"/>
      <c r="N1103" s="98"/>
      <c r="O1103" s="98"/>
    </row>
    <row r="1104" spans="1:15" ht="15" customHeight="1">
      <c r="A1104" s="277"/>
      <c r="B1104" s="277"/>
      <c r="C1104" s="284"/>
      <c r="D1104" s="40" t="s">
        <v>37</v>
      </c>
      <c r="E1104" s="138">
        <v>0.043</v>
      </c>
      <c r="F1104" s="98"/>
      <c r="G1104" s="102" t="str">
        <f>CONCATENATE(D1104," - ",E1104,", ")</f>
        <v>Burnt Cu scrap - 0.043, </v>
      </c>
      <c r="H1104" s="98"/>
      <c r="I1104" s="98" t="e">
        <f ca="1">IF(G1103&gt;=6,(MID(H1104,1,1)&amp;MID(H1104,2,4)+1),CELL("address",Z1104))</f>
        <v>#VALUE!</v>
      </c>
      <c r="J1104" s="98" t="e">
        <f ca="1">IF(G1103&gt;=7,(MID(I1104,1,1)&amp;MID(I1104,2,4)+1),CELL("address",AA1104))</f>
        <v>#VALUE!</v>
      </c>
      <c r="K1104" s="98" t="e">
        <f ca="1">IF(G1103&gt;=8,(MID(J1104,1,1)&amp;MID(J1104,2,4)+1),CELL("address",AB1104))</f>
        <v>#VALUE!</v>
      </c>
      <c r="L1104" s="98" t="e">
        <f ca="1">IF(G1103&gt;=9,(MID(K1104,1,1)&amp;MID(K1104,2,4)+1),CELL("address",AC1104))</f>
        <v>#VALUE!</v>
      </c>
      <c r="M1104" s="98" t="e">
        <f ca="1">IF(G1103&gt;=10,(MID(L1104,1,1)&amp;MID(L1104,2,4)+1),CELL("address",AD1104))</f>
        <v>#VALUE!</v>
      </c>
      <c r="N1104" s="98" t="e">
        <f ca="1">IF(G1103&gt;=11,(MID(M1104,1,1)&amp;MID(M1104,2,4)+1),CELL("address",AE1104))</f>
        <v>#VALUE!</v>
      </c>
      <c r="O1104" s="98" t="e">
        <f ca="1">IF(G1103&gt;=12,(MID(N1104,1,1)&amp;MID(N1104,2,4)+1),CELL("address",AF1104))</f>
        <v>#VALUE!</v>
      </c>
    </row>
    <row r="1105" spans="1:8" ht="15" customHeight="1">
      <c r="A1105" s="277"/>
      <c r="B1105" s="277"/>
      <c r="C1105" s="284"/>
      <c r="D1105" s="40" t="s">
        <v>27</v>
      </c>
      <c r="E1105" s="138">
        <v>0.177</v>
      </c>
      <c r="G1105" s="102" t="str">
        <f>CONCATENATE(D1105," - ",E1105,", ")</f>
        <v>Iron scrap - 0.177, </v>
      </c>
      <c r="H1105" s="1"/>
    </row>
    <row r="1106" spans="1:8" ht="15" customHeight="1">
      <c r="A1106" s="277"/>
      <c r="B1106" s="277"/>
      <c r="C1106" s="284"/>
      <c r="D1106" s="40" t="s">
        <v>58</v>
      </c>
      <c r="E1106" s="138">
        <v>1.053</v>
      </c>
      <c r="G1106" s="102" t="str">
        <f>CONCATENATE(D1106," - ",E1106,", ")</f>
        <v>Nuts &amp; Bolts scrap - 1.053, </v>
      </c>
      <c r="H1106" s="1"/>
    </row>
    <row r="1107" spans="1:8" ht="15" customHeight="1">
      <c r="A1107" s="1"/>
      <c r="B1107" s="1"/>
      <c r="C1107" s="1"/>
      <c r="D1107" s="1"/>
      <c r="E1107" s="1"/>
      <c r="H1107" s="1"/>
    </row>
    <row r="1108" spans="1:8" ht="14.25" customHeight="1">
      <c r="A1108" s="280"/>
      <c r="B1108" s="281"/>
      <c r="C1108" s="66"/>
      <c r="D1108" s="66"/>
      <c r="E1108" s="119">
        <f>SUM(E1110:E1111)</f>
        <v>0.649</v>
      </c>
      <c r="H1108" s="1"/>
    </row>
    <row r="1109" spans="1:18" ht="18.75" customHeight="1">
      <c r="A1109" s="277" t="s">
        <v>5</v>
      </c>
      <c r="B1109" s="277"/>
      <c r="C1109" s="64" t="s">
        <v>17</v>
      </c>
      <c r="D1109" s="65" t="s">
        <v>18</v>
      </c>
      <c r="E1109" s="68" t="s">
        <v>7</v>
      </c>
      <c r="G1109" s="184" t="str">
        <f>CONCATENATE("Misc. Healthy parts/ Non Ferrous  Scrap, Lying at ",C1110,". Quantity in MT - ")</f>
        <v>Misc. Healthy parts/ Non Ferrous  Scrap, Lying at TRY Patiala. Quantity in MT - </v>
      </c>
      <c r="H1109" s="274" t="str">
        <f ca="1">CONCATENATE(G1109,G1110,(INDIRECT(I1110)),(INDIRECT(J1110)),(INDIRECT(K1110)),(INDIRECT(L1110)),(INDIRECT(M1110)),(INDIRECT(N1110)),(INDIRECT(O1110)),(INDIRECT(P1110)),(INDIRECT(Q1110)),(INDIRECT(R1110)),".")</f>
        <v>Misc. Healthy parts/ Non Ferrous  Scrap, Lying at TRY Patiala. Quantity in MT - Brass scrap - 0.61, Misc. Alumn. Scrap - 0.039, .</v>
      </c>
      <c r="I1109" s="98" t="str">
        <f aca="true" ca="1" t="array" ref="I1109">CELL("address",INDEX(G1109:G1132,MATCH(TRUE,ISBLANK(G1109:G1132),0)))</f>
        <v>$G$1112</v>
      </c>
      <c r="J1109" s="98">
        <f aca="true" t="array" ref="J1109">MATCH(TRUE,ISBLANK(G1109:G1132),0)</f>
        <v>4</v>
      </c>
      <c r="K1109" s="98">
        <f>J1109-3</f>
        <v>1</v>
      </c>
      <c r="L1109" s="98"/>
      <c r="M1109" s="98"/>
      <c r="N1109" s="98"/>
      <c r="O1109" s="98"/>
      <c r="P1109" s="98"/>
      <c r="Q1109" s="98"/>
      <c r="R1109" s="98"/>
    </row>
    <row r="1110" spans="1:18" ht="18.75" customHeight="1">
      <c r="A1110" s="277" t="s">
        <v>464</v>
      </c>
      <c r="B1110" s="277"/>
      <c r="C1110" s="284" t="s">
        <v>120</v>
      </c>
      <c r="D1110" s="45" t="s">
        <v>23</v>
      </c>
      <c r="E1110" s="120">
        <v>0.61</v>
      </c>
      <c r="G1110" s="102" t="str">
        <f>CONCATENATE(D1110," - ",E1110,", ")</f>
        <v>Brass scrap - 0.61, </v>
      </c>
      <c r="H1110" s="274"/>
      <c r="I1110" s="98" t="str">
        <f ca="1">IF(J1109&gt;=3,(MID(I1109,2,1)&amp;MID(I1109,4,4)-K1109),CELL("address",Z1110))</f>
        <v>G1111</v>
      </c>
      <c r="J1110" s="98" t="str">
        <f ca="1">IF(J1109&gt;=4,(MID(I1110,1,1)&amp;MID(I1110,2,4)+1),CELL("address",AA1110))</f>
        <v>G1112</v>
      </c>
      <c r="K1110" s="98" t="str">
        <f ca="1">IF(J1109&gt;=5,(MID(J1110,1,1)&amp;MID(J1110,2,4)+1),CELL("address",AB1110))</f>
        <v>$AB$1110</v>
      </c>
      <c r="L1110" s="98" t="str">
        <f ca="1">IF(J1109&gt;=6,(MID(K1110,1,1)&amp;MID(K1110,2,4)+1),CELL("address",AC1110))</f>
        <v>$AC$1110</v>
      </c>
      <c r="M1110" s="98" t="str">
        <f ca="1">IF(J1109&gt;=7,(MID(L1110,1,1)&amp;MID(L1110,2,4)+1),CELL("address",AD1110))</f>
        <v>$AD$1110</v>
      </c>
      <c r="N1110" s="98" t="str">
        <f ca="1">IF(J1109&gt;=8,(MID(M1110,1,1)&amp;MID(M1110,2,4)+1),CELL("address",AE1110))</f>
        <v>$AE$1110</v>
      </c>
      <c r="O1110" s="98" t="str">
        <f ca="1">IF(J1109&gt;=9,(MID(N1110,1,1)&amp;MID(N1110,2,4)+1),CELL("address",AF1110))</f>
        <v>$AF$1110</v>
      </c>
      <c r="P1110" s="98" t="str">
        <f ca="1">IF(J1109&gt;=10,(MID(O1110,1,1)&amp;MID(O1110,2,4)+1),CELL("address",AG1110))</f>
        <v>$AG$1110</v>
      </c>
      <c r="Q1110" s="98" t="str">
        <f ca="1">IF(J1109&gt;=11,(MID(P1110,1,1)&amp;MID(P1110,2,4)+1),CELL("address",AH1110))</f>
        <v>$AH$1110</v>
      </c>
      <c r="R1110" s="98" t="str">
        <f ca="1">IF(J1109&gt;=12,(MID(Q1110,1,1)&amp;MID(Q1110,2,4)+1),CELL("address",AI1110))</f>
        <v>$AI$1110</v>
      </c>
    </row>
    <row r="1111" spans="1:8" ht="15.75" customHeight="1">
      <c r="A1111" s="277"/>
      <c r="B1111" s="277"/>
      <c r="C1111" s="284"/>
      <c r="D1111" s="45" t="s">
        <v>31</v>
      </c>
      <c r="E1111" s="68">
        <v>0.039</v>
      </c>
      <c r="G1111" s="102" t="str">
        <f>CONCATENATE(D1111," - ",E1111,", ")</f>
        <v>Misc. Alumn. Scrap - 0.039, </v>
      </c>
      <c r="H1111" s="1"/>
    </row>
    <row r="1112" spans="1:8" ht="14.25" customHeight="1">
      <c r="A1112" s="1"/>
      <c r="B1112" s="1"/>
      <c r="C1112" s="1"/>
      <c r="D1112" s="1"/>
      <c r="E1112" s="1"/>
      <c r="H1112" s="1"/>
    </row>
    <row r="1113" spans="1:8" ht="11.25" customHeight="1">
      <c r="A1113" s="280"/>
      <c r="B1113" s="281"/>
      <c r="C1113" s="66"/>
      <c r="D1113" s="66"/>
      <c r="E1113" s="67">
        <f>SUM(E1115:E1116)</f>
        <v>0.29000000000000004</v>
      </c>
      <c r="H1113" s="1"/>
    </row>
    <row r="1114" spans="1:18" ht="15" customHeight="1">
      <c r="A1114" s="277" t="s">
        <v>5</v>
      </c>
      <c r="B1114" s="277"/>
      <c r="C1114" s="64" t="s">
        <v>17</v>
      </c>
      <c r="D1114" s="65" t="s">
        <v>18</v>
      </c>
      <c r="E1114" s="64" t="s">
        <v>7</v>
      </c>
      <c r="G1114" s="184" t="str">
        <f>CONCATENATE("Misc. Healthy parts/ Non Ferrous  Scrap, Lying at ",C1115,". Quantity in MT - ")</f>
        <v>Misc. Healthy parts/ Non Ferrous  Scrap, Lying at TRY Ropar. Quantity in MT - </v>
      </c>
      <c r="H1114" s="274" t="str">
        <f ca="1">CONCATENATE(G1114,G1115,(INDIRECT(I1115)),(INDIRECT(J1115)),(INDIRECT(K1115)),(INDIRECT(L1115)),(INDIRECT(M1115)),(INDIRECT(N1115)),(INDIRECT(O1115)),(INDIRECT(P1115)),(INDIRECT(Q1115)),(INDIRECT(R1115)),".")</f>
        <v>Misc. Healthy parts/ Non Ferrous  Scrap, Lying at TRY Ropar. Quantity in MT - Misc. Alumn. Scrap - 0.154, Burnt Cu scrap - 0.136, .</v>
      </c>
      <c r="I1114" s="98" t="str">
        <f aca="true" ca="1" t="array" ref="I1114">CELL("address",INDEX(G1114:G1135,MATCH(TRUE,ISBLANK(G1114:G1135),0)))</f>
        <v>$G$1117</v>
      </c>
      <c r="J1114" s="98">
        <f aca="true" t="array" ref="J1114">MATCH(TRUE,ISBLANK(G1114:G1135),0)</f>
        <v>4</v>
      </c>
      <c r="K1114" s="98">
        <f>J1114-3</f>
        <v>1</v>
      </c>
      <c r="L1114" s="98"/>
      <c r="M1114" s="98"/>
      <c r="N1114" s="98"/>
      <c r="O1114" s="98"/>
      <c r="P1114" s="98"/>
      <c r="Q1114" s="98"/>
      <c r="R1114" s="98"/>
    </row>
    <row r="1115" spans="1:18" ht="15" customHeight="1">
      <c r="A1115" s="277" t="s">
        <v>572</v>
      </c>
      <c r="B1115" s="277"/>
      <c r="C1115" s="284" t="s">
        <v>143</v>
      </c>
      <c r="D1115" s="34" t="s">
        <v>31</v>
      </c>
      <c r="E1115" s="34">
        <v>0.154</v>
      </c>
      <c r="G1115" s="102" t="str">
        <f>CONCATENATE(D1115," - ",E1115,", ")</f>
        <v>Misc. Alumn. Scrap - 0.154, </v>
      </c>
      <c r="H1115" s="274"/>
      <c r="I1115" s="98" t="str">
        <f ca="1">IF(J1114&gt;=3,(MID(I1114,2,1)&amp;MID(I1114,4,4)-K1114),CELL("address",Z1115))</f>
        <v>G1116</v>
      </c>
      <c r="J1115" s="98" t="str">
        <f ca="1">IF(J1114&gt;=4,(MID(I1115,1,1)&amp;MID(I1115,2,4)+1),CELL("address",AA1115))</f>
        <v>G1117</v>
      </c>
      <c r="K1115" s="98" t="str">
        <f ca="1">IF(J1114&gt;=5,(MID(J1115,1,1)&amp;MID(J1115,2,4)+1),CELL("address",AB1115))</f>
        <v>$AB$1115</v>
      </c>
      <c r="L1115" s="98" t="str">
        <f ca="1">IF(J1114&gt;=6,(MID(K1115,1,1)&amp;MID(K1115,2,4)+1),CELL("address",AC1115))</f>
        <v>$AC$1115</v>
      </c>
      <c r="M1115" s="98" t="str">
        <f ca="1">IF(J1114&gt;=7,(MID(L1115,1,1)&amp;MID(L1115,2,4)+1),CELL("address",AD1115))</f>
        <v>$AD$1115</v>
      </c>
      <c r="N1115" s="98" t="str">
        <f ca="1">IF(J1114&gt;=8,(MID(M1115,1,1)&amp;MID(M1115,2,4)+1),CELL("address",AE1115))</f>
        <v>$AE$1115</v>
      </c>
      <c r="O1115" s="98" t="str">
        <f ca="1">IF(J1114&gt;=9,(MID(N1115,1,1)&amp;MID(N1115,2,4)+1),CELL("address",AF1115))</f>
        <v>$AF$1115</v>
      </c>
      <c r="P1115" s="98" t="str">
        <f ca="1">IF(J1114&gt;=10,(MID(O1115,1,1)&amp;MID(O1115,2,4)+1),CELL("address",AG1115))</f>
        <v>$AG$1115</v>
      </c>
      <c r="Q1115" s="98" t="str">
        <f ca="1">IF(J1114&gt;=11,(MID(P1115,1,1)&amp;MID(P1115,2,4)+1),CELL("address",AH1115))</f>
        <v>$AH$1115</v>
      </c>
      <c r="R1115" s="98" t="str">
        <f ca="1">IF(J1114&gt;=12,(MID(Q1115,1,1)&amp;MID(Q1115,2,4)+1),CELL("address",AI1115))</f>
        <v>$AI$1115</v>
      </c>
    </row>
    <row r="1116" spans="1:8" ht="15" customHeight="1">
      <c r="A1116" s="277"/>
      <c r="B1116" s="277"/>
      <c r="C1116" s="284"/>
      <c r="D1116" s="267" t="s">
        <v>37</v>
      </c>
      <c r="E1116" s="169">
        <v>0.136</v>
      </c>
      <c r="G1116" s="102" t="str">
        <f>CONCATENATE(D1116," - ",E1116,", ")</f>
        <v>Burnt Cu scrap - 0.136, </v>
      </c>
      <c r="H1116" s="1"/>
    </row>
    <row r="1117" spans="1:8" ht="15" customHeight="1">
      <c r="A1117" s="1"/>
      <c r="B1117" s="1"/>
      <c r="C1117" s="1"/>
      <c r="D1117" s="1"/>
      <c r="E1117" s="1"/>
      <c r="H1117" s="1"/>
    </row>
    <row r="1118" spans="1:8" ht="15" customHeight="1">
      <c r="A1118" s="280"/>
      <c r="B1118" s="281"/>
      <c r="C1118" s="66"/>
      <c r="D1118" s="66"/>
      <c r="E1118" s="119">
        <f>SUM(E1120:E1121)</f>
        <v>0.09</v>
      </c>
      <c r="H1118" s="1"/>
    </row>
    <row r="1119" spans="1:18" ht="15" customHeight="1">
      <c r="A1119" s="277" t="s">
        <v>5</v>
      </c>
      <c r="B1119" s="277"/>
      <c r="C1119" s="64" t="s">
        <v>17</v>
      </c>
      <c r="D1119" s="65" t="s">
        <v>18</v>
      </c>
      <c r="E1119" s="68" t="s">
        <v>7</v>
      </c>
      <c r="G1119" s="184" t="str">
        <f>CONCATENATE("Misc. Healthy parts/ Non Ferrous  Scrap, Lying at ",C1120,". Quantity in MT - ")</f>
        <v>Misc. Healthy parts/ Non Ferrous  Scrap, Lying at TRY Kotkapura. Quantity in MT - </v>
      </c>
      <c r="H1119" s="274" t="str">
        <f ca="1">CONCATENATE(G1119,G1120,(INDIRECT(I1120)),(INDIRECT(J1120)),(INDIRECT(K1120)),(INDIRECT(L1120)),(INDIRECT(M1120)),(INDIRECT(N1120)),(INDIRECT(O1120)),(INDIRECT(P1120)),(INDIRECT(Q1120)),(INDIRECT(R1120)),".")</f>
        <v>Misc. Healthy parts/ Non Ferrous  Scrap, Lying at TRY Kotkapura. Quantity in MT - Misc. Alumn. Scrap - 0.044, Iron scrap - 0.046, .</v>
      </c>
      <c r="I1119" s="98" t="str">
        <f aca="true" ca="1" t="array" ref="I1119">CELL("address",INDEX(G1119:G1140,MATCH(TRUE,ISBLANK(G1119:G1140),0)))</f>
        <v>$G$1122</v>
      </c>
      <c r="J1119" s="98">
        <f aca="true" t="array" ref="J1119">MATCH(TRUE,ISBLANK(G1119:G1140),0)</f>
        <v>4</v>
      </c>
      <c r="K1119" s="98">
        <f>J1119-3</f>
        <v>1</v>
      </c>
      <c r="L1119" s="98"/>
      <c r="M1119" s="98"/>
      <c r="N1119" s="98"/>
      <c r="O1119" s="98"/>
      <c r="P1119" s="98"/>
      <c r="Q1119" s="98"/>
      <c r="R1119" s="98"/>
    </row>
    <row r="1120" spans="1:18" ht="15" customHeight="1">
      <c r="A1120" s="292" t="s">
        <v>677</v>
      </c>
      <c r="B1120" s="293"/>
      <c r="C1120" s="298" t="s">
        <v>248</v>
      </c>
      <c r="D1120" s="34" t="s">
        <v>31</v>
      </c>
      <c r="E1120" s="238">
        <v>0.044</v>
      </c>
      <c r="F1120" s="1" t="s">
        <v>320</v>
      </c>
      <c r="G1120" s="102" t="str">
        <f>CONCATENATE(D1120," - ",E1120,", ")</f>
        <v>Misc. Alumn. Scrap - 0.044, </v>
      </c>
      <c r="H1120" s="274"/>
      <c r="I1120" s="98" t="str">
        <f ca="1">IF(J1119&gt;=3,(MID(I1119,2,1)&amp;MID(I1119,4,4)-K1119),CELL("address",Z1120))</f>
        <v>G1121</v>
      </c>
      <c r="J1120" s="98" t="str">
        <f ca="1">IF(J1119&gt;=4,(MID(I1120,1,1)&amp;MID(I1120,2,4)+1),CELL("address",AA1120))</f>
        <v>G1122</v>
      </c>
      <c r="K1120" s="98" t="str">
        <f ca="1">IF(J1119&gt;=5,(MID(J1120,1,1)&amp;MID(J1120,2,4)+1),CELL("address",AB1120))</f>
        <v>$AB$1120</v>
      </c>
      <c r="L1120" s="98" t="str">
        <f ca="1">IF(J1119&gt;=6,(MID(K1120,1,1)&amp;MID(K1120,2,4)+1),CELL("address",AC1120))</f>
        <v>$AC$1120</v>
      </c>
      <c r="M1120" s="98" t="str">
        <f ca="1">IF(J1119&gt;=7,(MID(L1120,1,1)&amp;MID(L1120,2,4)+1),CELL("address",AD1120))</f>
        <v>$AD$1120</v>
      </c>
      <c r="N1120" s="98" t="str">
        <f ca="1">IF(J1119&gt;=8,(MID(M1120,1,1)&amp;MID(M1120,2,4)+1),CELL("address",AE1120))</f>
        <v>$AE$1120</v>
      </c>
      <c r="O1120" s="98" t="str">
        <f ca="1">IF(J1119&gt;=9,(MID(N1120,1,1)&amp;MID(N1120,2,4)+1),CELL("address",AF1120))</f>
        <v>$AF$1120</v>
      </c>
      <c r="P1120" s="98" t="str">
        <f ca="1">IF(J1119&gt;=10,(MID(O1120,1,1)&amp;MID(O1120,2,4)+1),CELL("address",AG1120))</f>
        <v>$AG$1120</v>
      </c>
      <c r="Q1120" s="98" t="str">
        <f ca="1">IF(J1119&gt;=11,(MID(P1120,1,1)&amp;MID(P1120,2,4)+1),CELL("address",AH1120))</f>
        <v>$AH$1120</v>
      </c>
      <c r="R1120" s="98" t="str">
        <f ca="1">IF(J1119&gt;=12,(MID(Q1120,1,1)&amp;MID(Q1120,2,4)+1),CELL("address",AI1120))</f>
        <v>$AI$1120</v>
      </c>
    </row>
    <row r="1121" spans="1:8" ht="15" customHeight="1">
      <c r="A1121" s="301"/>
      <c r="B1121" s="302"/>
      <c r="C1121" s="305"/>
      <c r="D1121" s="267" t="s">
        <v>27</v>
      </c>
      <c r="E1121" s="238">
        <v>0.046</v>
      </c>
      <c r="F1121" s="1" t="s">
        <v>320</v>
      </c>
      <c r="G1121" s="102" t="str">
        <f>CONCATENATE(D1121," - ",E1121,", ")</f>
        <v>Iron scrap - 0.046, </v>
      </c>
      <c r="H1121" s="1"/>
    </row>
    <row r="1122" spans="1:8" ht="13.5" customHeight="1">
      <c r="A1122" s="1"/>
      <c r="B1122" s="1"/>
      <c r="C1122" s="1"/>
      <c r="D1122" s="1"/>
      <c r="E1122" s="1"/>
      <c r="H1122" s="1"/>
    </row>
    <row r="1123" spans="1:8" ht="13.5" customHeight="1">
      <c r="A1123" s="280"/>
      <c r="B1123" s="281"/>
      <c r="C1123" s="66"/>
      <c r="D1123" s="66"/>
      <c r="E1123" s="119">
        <f>SUM(E1125:E1126)</f>
        <v>0.007</v>
      </c>
      <c r="H1123" s="1"/>
    </row>
    <row r="1124" spans="1:18" ht="15" customHeight="1">
      <c r="A1124" s="277" t="s">
        <v>5</v>
      </c>
      <c r="B1124" s="277"/>
      <c r="C1124" s="64" t="s">
        <v>17</v>
      </c>
      <c r="D1124" s="65" t="s">
        <v>18</v>
      </c>
      <c r="E1124" s="68" t="s">
        <v>7</v>
      </c>
      <c r="G1124" s="184" t="str">
        <f>CONCATENATE("Misc. Healthy parts/ Non Ferrous  Scrap, Lying at ",C1125,". Quantity in MT - ")</f>
        <v>Misc. Healthy parts/ Non Ferrous  Scrap, Lying at TRY Moga. Quantity in MT - </v>
      </c>
      <c r="H1124" s="274" t="str">
        <f ca="1">CONCATENATE(G1124,G1125,(INDIRECT(I1125)),(INDIRECT(J1125)),(INDIRECT(K1125)),(INDIRECT(L1125)),(INDIRECT(M1125)),(INDIRECT(N1125)),(INDIRECT(O1125)),(INDIRECT(P1125)),(INDIRECT(Q1125)),(INDIRECT(R1125)),".")</f>
        <v>Misc. Healthy parts/ Non Ferrous  Scrap, Lying at TRY Moga. Quantity in MT - Misc. Alumn. Scrap - 0.004, Iron scrap - 0.003, .</v>
      </c>
      <c r="I1124" s="98" t="str">
        <f aca="true" ca="1" t="array" ref="I1124">CELL("address",INDEX(G1124:G1146,MATCH(TRUE,ISBLANK(G1124:G1146),0)))</f>
        <v>$G$1127</v>
      </c>
      <c r="J1124" s="98">
        <f aca="true" t="array" ref="J1124">MATCH(TRUE,ISBLANK(G1124:G1146),0)</f>
        <v>4</v>
      </c>
      <c r="K1124" s="98">
        <f>J1124-3</f>
        <v>1</v>
      </c>
      <c r="L1124" s="98"/>
      <c r="M1124" s="98"/>
      <c r="N1124" s="98"/>
      <c r="O1124" s="98"/>
      <c r="P1124" s="98"/>
      <c r="Q1124" s="98"/>
      <c r="R1124" s="98"/>
    </row>
    <row r="1125" spans="1:18" ht="15" customHeight="1">
      <c r="A1125" s="277" t="s">
        <v>678</v>
      </c>
      <c r="B1125" s="277"/>
      <c r="C1125" s="284" t="s">
        <v>222</v>
      </c>
      <c r="D1125" s="34" t="s">
        <v>31</v>
      </c>
      <c r="E1125" s="171">
        <v>0.004</v>
      </c>
      <c r="F1125" s="1" t="s">
        <v>320</v>
      </c>
      <c r="G1125" s="102" t="str">
        <f>CONCATENATE(D1125," - ",E1125,", ")</f>
        <v>Misc. Alumn. Scrap - 0.004, </v>
      </c>
      <c r="H1125" s="274"/>
      <c r="I1125" s="98" t="str">
        <f ca="1">IF(J1124&gt;=3,(MID(I1124,2,1)&amp;MID(I1124,4,4)-K1124),CELL("address",Z1125))</f>
        <v>G1126</v>
      </c>
      <c r="J1125" s="98" t="str">
        <f ca="1">IF(J1124&gt;=4,(MID(I1125,1,1)&amp;MID(I1125,2,4)+1),CELL("address",AA1125))</f>
        <v>G1127</v>
      </c>
      <c r="K1125" s="98" t="str">
        <f ca="1">IF(J1124&gt;=5,(MID(J1125,1,1)&amp;MID(J1125,2,4)+1),CELL("address",AB1125))</f>
        <v>$AB$1125</v>
      </c>
      <c r="L1125" s="98" t="str">
        <f ca="1">IF(J1124&gt;=6,(MID(K1125,1,1)&amp;MID(K1125,2,4)+1),CELL("address",AC1125))</f>
        <v>$AC$1125</v>
      </c>
      <c r="M1125" s="98" t="str">
        <f ca="1">IF(J1124&gt;=7,(MID(L1125,1,1)&amp;MID(L1125,2,4)+1),CELL("address",AD1125))</f>
        <v>$AD$1125</v>
      </c>
      <c r="N1125" s="98" t="str">
        <f ca="1">IF(J1124&gt;=8,(MID(M1125,1,1)&amp;MID(M1125,2,4)+1),CELL("address",AE1125))</f>
        <v>$AE$1125</v>
      </c>
      <c r="O1125" s="98" t="str">
        <f ca="1">IF(J1124&gt;=9,(MID(N1125,1,1)&amp;MID(N1125,2,4)+1),CELL("address",AF1125))</f>
        <v>$AF$1125</v>
      </c>
      <c r="P1125" s="98" t="str">
        <f ca="1">IF(J1124&gt;=10,(MID(O1125,1,1)&amp;MID(O1125,2,4)+1),CELL("address",AG1125))</f>
        <v>$AG$1125</v>
      </c>
      <c r="Q1125" s="98" t="str">
        <f ca="1">IF(J1124&gt;=11,(MID(P1125,1,1)&amp;MID(P1125,2,4)+1),CELL("address",AH1125))</f>
        <v>$AH$1125</v>
      </c>
      <c r="R1125" s="98" t="str">
        <f ca="1">IF(J1124&gt;=12,(MID(Q1125,1,1)&amp;MID(Q1125,2,4)+1),CELL("address",AI1125))</f>
        <v>$AI$1125</v>
      </c>
    </row>
    <row r="1126" spans="1:8" ht="15" customHeight="1">
      <c r="A1126" s="277"/>
      <c r="B1126" s="277"/>
      <c r="C1126" s="284"/>
      <c r="D1126" s="267" t="s">
        <v>27</v>
      </c>
      <c r="E1126" s="238">
        <v>0.003</v>
      </c>
      <c r="F1126" s="1" t="s">
        <v>320</v>
      </c>
      <c r="G1126" s="102" t="str">
        <f>CONCATENATE(D1126," - ",E1126,", ")</f>
        <v>Iron scrap - 0.003, </v>
      </c>
      <c r="H1126" s="1"/>
    </row>
    <row r="1127" spans="1:8" ht="15" customHeight="1">
      <c r="A1127" s="1"/>
      <c r="B1127" s="1"/>
      <c r="C1127" s="1"/>
      <c r="D1127" s="1"/>
      <c r="E1127" s="1"/>
      <c r="H1127" s="1"/>
    </row>
    <row r="1128" spans="1:8" ht="15" customHeight="1">
      <c r="A1128" s="280"/>
      <c r="B1128" s="281"/>
      <c r="C1128" s="66"/>
      <c r="D1128" s="66"/>
      <c r="E1128" s="119">
        <f>SUM(E1130:E1131)</f>
        <v>0.099</v>
      </c>
      <c r="H1128" s="1"/>
    </row>
    <row r="1129" spans="1:18" ht="15" customHeight="1">
      <c r="A1129" s="277" t="s">
        <v>5</v>
      </c>
      <c r="B1129" s="277"/>
      <c r="C1129" s="64" t="s">
        <v>17</v>
      </c>
      <c r="D1129" s="65" t="s">
        <v>18</v>
      </c>
      <c r="E1129" s="68" t="s">
        <v>7</v>
      </c>
      <c r="G1129" s="184" t="str">
        <f>CONCATENATE("Misc. Healthy parts/ Non Ferrous  Scrap, Lying at ",C1130,". Quantity in MT - ")</f>
        <v>Misc. Healthy parts/ Non Ferrous  Scrap, Lying at OL Nabha. Quantity in MT - </v>
      </c>
      <c r="H1129" s="274" t="str">
        <f ca="1">CONCATENATE(G1129,G1130,(INDIRECT(I1130)),(INDIRECT(J1130)),(INDIRECT(K1130)),(INDIRECT(L1130)),(INDIRECT(M1130)),(INDIRECT(N1130)),(INDIRECT(O1130)),(INDIRECT(P1130)),(INDIRECT(Q1130)),(INDIRECT(R1130)),".")</f>
        <v>Misc. Healthy parts/ Non Ferrous  Scrap, Lying at OL Nabha. Quantity in MT - Misc. Alumn. Scrap - 0.007, Misc. copper scrap - 0.092, .</v>
      </c>
      <c r="I1129" s="98" t="str">
        <f aca="true" ca="1" t="array" ref="I1129">CELL("address",INDEX(G1129:G1151,MATCH(TRUE,ISBLANK(G1129:G1151),0)))</f>
        <v>$G$1132</v>
      </c>
      <c r="J1129" s="98">
        <f aca="true" t="array" ref="J1129">MATCH(TRUE,ISBLANK(G1129:G1151),0)</f>
        <v>4</v>
      </c>
      <c r="K1129" s="98">
        <f>J1129-3</f>
        <v>1</v>
      </c>
      <c r="L1129" s="98"/>
      <c r="M1129" s="98"/>
      <c r="N1129" s="98"/>
      <c r="O1129" s="98"/>
      <c r="P1129" s="98"/>
      <c r="Q1129" s="98"/>
      <c r="R1129" s="98"/>
    </row>
    <row r="1130" spans="1:18" ht="15" customHeight="1">
      <c r="A1130" s="277" t="s">
        <v>679</v>
      </c>
      <c r="B1130" s="277"/>
      <c r="C1130" s="284" t="s">
        <v>104</v>
      </c>
      <c r="D1130" s="34" t="s">
        <v>31</v>
      </c>
      <c r="E1130" s="171">
        <v>0.007</v>
      </c>
      <c r="F1130" s="1" t="s">
        <v>242</v>
      </c>
      <c r="G1130" s="102" t="str">
        <f>CONCATENATE(D1130," - ",E1130,", ")</f>
        <v>Misc. Alumn. Scrap - 0.007, </v>
      </c>
      <c r="H1130" s="274"/>
      <c r="I1130" s="98" t="str">
        <f ca="1">IF(J1129&gt;=3,(MID(I1129,2,1)&amp;MID(I1129,4,4)-K1129),CELL("address",Z1130))</f>
        <v>G1131</v>
      </c>
      <c r="J1130" s="98" t="str">
        <f ca="1">IF(J1129&gt;=4,(MID(I1130,1,1)&amp;MID(I1130,2,4)+1),CELL("address",AA1130))</f>
        <v>G1132</v>
      </c>
      <c r="K1130" s="98" t="str">
        <f ca="1">IF(J1129&gt;=5,(MID(J1130,1,1)&amp;MID(J1130,2,4)+1),CELL("address",AB1130))</f>
        <v>$AB$1130</v>
      </c>
      <c r="L1130" s="98" t="str">
        <f ca="1">IF(J1129&gt;=6,(MID(K1130,1,1)&amp;MID(K1130,2,4)+1),CELL("address",AC1130))</f>
        <v>$AC$1130</v>
      </c>
      <c r="M1130" s="98" t="str">
        <f ca="1">IF(J1129&gt;=7,(MID(L1130,1,1)&amp;MID(L1130,2,4)+1),CELL("address",AD1130))</f>
        <v>$AD$1130</v>
      </c>
      <c r="N1130" s="98" t="str">
        <f ca="1">IF(J1129&gt;=8,(MID(M1130,1,1)&amp;MID(M1130,2,4)+1),CELL("address",AE1130))</f>
        <v>$AE$1130</v>
      </c>
      <c r="O1130" s="98" t="str">
        <f ca="1">IF(J1129&gt;=9,(MID(N1130,1,1)&amp;MID(N1130,2,4)+1),CELL("address",AF1130))</f>
        <v>$AF$1130</v>
      </c>
      <c r="P1130" s="98" t="str">
        <f ca="1">IF(J1129&gt;=10,(MID(O1130,1,1)&amp;MID(O1130,2,4)+1),CELL("address",AG1130))</f>
        <v>$AG$1130</v>
      </c>
      <c r="Q1130" s="98" t="str">
        <f ca="1">IF(J1129&gt;=11,(MID(P1130,1,1)&amp;MID(P1130,2,4)+1),CELL("address",AH1130))</f>
        <v>$AH$1130</v>
      </c>
      <c r="R1130" s="98" t="str">
        <f ca="1">IF(J1129&gt;=12,(MID(Q1130,1,1)&amp;MID(Q1130,2,4)+1),CELL("address",AI1130))</f>
        <v>$AI$1130</v>
      </c>
    </row>
    <row r="1131" spans="1:8" ht="15" customHeight="1">
      <c r="A1131" s="277"/>
      <c r="B1131" s="277"/>
      <c r="C1131" s="284"/>
      <c r="D1131" s="162" t="s">
        <v>111</v>
      </c>
      <c r="E1131" s="238">
        <v>0.092</v>
      </c>
      <c r="F1131" s="1" t="s">
        <v>242</v>
      </c>
      <c r="G1131" s="102" t="str">
        <f>CONCATENATE(D1131," - ",E1131,", ")</f>
        <v>Misc. copper scrap - 0.092, </v>
      </c>
      <c r="H1131" s="1"/>
    </row>
    <row r="1132" spans="1:8" ht="15" customHeight="1">
      <c r="A1132" s="1"/>
      <c r="B1132" s="1"/>
      <c r="C1132" s="1"/>
      <c r="D1132" s="1"/>
      <c r="E1132" s="1"/>
      <c r="H1132" s="1"/>
    </row>
    <row r="1133" spans="1:8" ht="15" customHeight="1">
      <c r="A1133" s="280"/>
      <c r="B1133" s="281"/>
      <c r="C1133" s="66"/>
      <c r="D1133" s="66"/>
      <c r="E1133" s="67">
        <f>SUM(E1135:E1135)</f>
        <v>2</v>
      </c>
      <c r="H1133" s="1"/>
    </row>
    <row r="1134" spans="1:18" ht="15" customHeight="1">
      <c r="A1134" s="277" t="s">
        <v>5</v>
      </c>
      <c r="B1134" s="277"/>
      <c r="C1134" s="64" t="s">
        <v>17</v>
      </c>
      <c r="D1134" s="65" t="s">
        <v>18</v>
      </c>
      <c r="E1134" s="64" t="s">
        <v>7</v>
      </c>
      <c r="G1134" s="184" t="str">
        <f>CONCATENATE("Misc. Healthy parts/ Non Ferrous  Scrap, Lying at ",C1135,". Quantity in MT - ")</f>
        <v>Misc. Healthy parts/ Non Ferrous  Scrap, Lying at TRY Malerkotla. Quantity in MT - </v>
      </c>
      <c r="H1134" s="274" t="str">
        <f ca="1">CONCATENATE(G1134,G1135,(INDIRECT(I1135)),(INDIRECT(J1135)),(INDIRECT(K1135)),(INDIRECT(L1135)),(INDIRECT(M1135)),(INDIRECT(N1135)),(INDIRECT(O1135)),(INDIRECT(P1135)),(INDIRECT(Q1135)),(INDIRECT(R1135)),".")</f>
        <v>Misc. Healthy parts/ Non Ferrous  Scrap, Lying at TRY Malerkotla. Quantity in MT - Brass scrap - 2, .</v>
      </c>
      <c r="I1134" s="98" t="str">
        <f aca="true" ca="1" t="array" ref="I1134">CELL("address",INDEX(G1134:G1156,MATCH(TRUE,ISBLANK(G1134:G1156),0)))</f>
        <v>$G$1136</v>
      </c>
      <c r="J1134" s="98">
        <f aca="true" t="array" ref="J1134">MATCH(TRUE,ISBLANK(G1134:G1156),0)</f>
        <v>3</v>
      </c>
      <c r="K1134" s="98">
        <f>J1134-3</f>
        <v>0</v>
      </c>
      <c r="L1134" s="98"/>
      <c r="M1134" s="98"/>
      <c r="N1134" s="98"/>
      <c r="O1134" s="98"/>
      <c r="P1134" s="98"/>
      <c r="Q1134" s="98"/>
      <c r="R1134" s="98"/>
    </row>
    <row r="1135" spans="1:24" ht="15" customHeight="1">
      <c r="A1135" s="277" t="s">
        <v>686</v>
      </c>
      <c r="B1135" s="277"/>
      <c r="C1135" s="258" t="s">
        <v>28</v>
      </c>
      <c r="D1135" s="45" t="s">
        <v>23</v>
      </c>
      <c r="E1135" s="47">
        <v>2</v>
      </c>
      <c r="G1135" s="102" t="str">
        <f>CONCATENATE(D1135," - ",E1135,", ")</f>
        <v>Brass scrap - 2, </v>
      </c>
      <c r="H1135" s="274"/>
      <c r="I1135" s="98" t="str">
        <f ca="1">IF(J1134&gt;=3,(MID(I1134,2,1)&amp;MID(I1134,4,4)-K1134),CELL("address",Z1135))</f>
        <v>G1136</v>
      </c>
      <c r="J1135" s="98" t="str">
        <f ca="1">IF(J1134&gt;=4,(MID(I1135,1,1)&amp;MID(I1135,2,4)+1),CELL("address",AA1135))</f>
        <v>$AA$1135</v>
      </c>
      <c r="K1135" s="98" t="str">
        <f ca="1">IF(J1134&gt;=5,(MID(J1135,1,1)&amp;MID(J1135,2,4)+1),CELL("address",AB1135))</f>
        <v>$AB$1135</v>
      </c>
      <c r="L1135" s="98" t="str">
        <f ca="1">IF(J1134&gt;=6,(MID(K1135,1,1)&amp;MID(K1135,2,4)+1),CELL("address",AC1135))</f>
        <v>$AC$1135</v>
      </c>
      <c r="M1135" s="98" t="str">
        <f ca="1">IF(J1134&gt;=7,(MID(L1135,1,1)&amp;MID(L1135,2,4)+1),CELL("address",AD1135))</f>
        <v>$AD$1135</v>
      </c>
      <c r="N1135" s="98" t="str">
        <f ca="1">IF(J1134&gt;=8,(MID(M1135,1,1)&amp;MID(M1135,2,4)+1),CELL("address",AE1135))</f>
        <v>$AE$1135</v>
      </c>
      <c r="O1135" s="98" t="str">
        <f ca="1">IF(J1134&gt;=9,(MID(N1135,1,1)&amp;MID(N1135,2,4)+1),CELL("address",AF1135))</f>
        <v>$AF$1135</v>
      </c>
      <c r="P1135" s="98" t="str">
        <f ca="1">IF(J1134&gt;=10,(MID(O1135,1,1)&amp;MID(O1135,2,4)+1),CELL("address",AG1135))</f>
        <v>$AG$1135</v>
      </c>
      <c r="Q1135" s="98" t="str">
        <f ca="1">IF(J1134&gt;=11,(MID(P1135,1,1)&amp;MID(P1135,2,4)+1),CELL("address",AH1135))</f>
        <v>$AH$1135</v>
      </c>
      <c r="R1135" s="98" t="str">
        <f ca="1">IF(J1134&gt;=12,(MID(Q1135,1,1)&amp;MID(Q1135,2,4)+1),CELL("address",AI1135))</f>
        <v>$AI$1135</v>
      </c>
      <c r="T1135" s="282" t="s">
        <v>687</v>
      </c>
      <c r="U1135" s="282"/>
      <c r="V1135" s="282"/>
      <c r="W1135" s="282"/>
      <c r="X1135" s="282"/>
    </row>
    <row r="1136" spans="1:8" ht="15" customHeight="1">
      <c r="A1136" s="1"/>
      <c r="B1136" s="1"/>
      <c r="C1136" s="1"/>
      <c r="D1136" s="1"/>
      <c r="E1136" s="1"/>
      <c r="H1136" s="1"/>
    </row>
    <row r="1137" spans="1:8" ht="15" customHeight="1">
      <c r="A1137" s="1"/>
      <c r="B1137" s="1"/>
      <c r="C1137" s="1"/>
      <c r="D1137" s="1"/>
      <c r="E1137" s="1"/>
      <c r="H1137" s="1"/>
    </row>
    <row r="1138" spans="1:8" ht="15" customHeight="1">
      <c r="A1138" s="1"/>
      <c r="B1138" s="1"/>
      <c r="C1138" s="1"/>
      <c r="D1138" s="1"/>
      <c r="E1138" s="1"/>
      <c r="H1138" s="1"/>
    </row>
    <row r="1139" spans="1:8" ht="15" customHeight="1">
      <c r="A1139" s="1"/>
      <c r="B1139" s="1"/>
      <c r="C1139" s="1"/>
      <c r="D1139" s="1"/>
      <c r="E1139" s="1"/>
      <c r="H1139" s="1"/>
    </row>
    <row r="1140" spans="1:8" ht="15" customHeight="1">
      <c r="A1140" s="1"/>
      <c r="B1140" s="1"/>
      <c r="C1140" s="1"/>
      <c r="D1140" s="1"/>
      <c r="E1140" s="1"/>
      <c r="H1140" s="1"/>
    </row>
    <row r="1141" spans="1:8" ht="15" customHeight="1">
      <c r="A1141" s="1"/>
      <c r="B1141" s="1"/>
      <c r="C1141" s="1"/>
      <c r="D1141" s="1"/>
      <c r="E1141" s="1"/>
      <c r="H1141" s="1"/>
    </row>
    <row r="1142" spans="1:8" ht="15" customHeight="1">
      <c r="A1142" s="1"/>
      <c r="B1142" s="1"/>
      <c r="C1142" s="1"/>
      <c r="D1142" s="1"/>
      <c r="E1142" s="1"/>
      <c r="H1142" s="1"/>
    </row>
    <row r="1143" spans="1:8" ht="15.75" customHeight="1">
      <c r="A1143" s="1"/>
      <c r="B1143" s="1"/>
      <c r="C1143" s="1"/>
      <c r="D1143" s="1"/>
      <c r="E1143" s="1"/>
      <c r="H1143" s="1"/>
    </row>
    <row r="1144" spans="1:8" ht="15.75" customHeight="1">
      <c r="A1144" s="1"/>
      <c r="B1144" s="1"/>
      <c r="C1144" s="1"/>
      <c r="D1144" s="1"/>
      <c r="E1144" s="1"/>
      <c r="H1144" s="1"/>
    </row>
    <row r="1145" spans="1:8" ht="15.75" customHeight="1">
      <c r="A1145" s="1"/>
      <c r="B1145" s="1"/>
      <c r="C1145" s="1"/>
      <c r="D1145" s="1"/>
      <c r="E1145" s="1"/>
      <c r="H1145" s="1"/>
    </row>
    <row r="1146" spans="1:8" ht="15" customHeight="1">
      <c r="A1146" s="1"/>
      <c r="B1146" s="1"/>
      <c r="C1146" s="1"/>
      <c r="D1146" s="1"/>
      <c r="E1146" s="1"/>
      <c r="H1146" s="1"/>
    </row>
    <row r="1147" spans="1:8" ht="15" customHeight="1">
      <c r="A1147" s="1"/>
      <c r="B1147" s="1"/>
      <c r="C1147" s="1"/>
      <c r="D1147" s="1"/>
      <c r="E1147" s="1"/>
      <c r="H1147" s="1"/>
    </row>
    <row r="1148" spans="1:8" ht="15" customHeight="1">
      <c r="A1148" s="1"/>
      <c r="B1148" s="1"/>
      <c r="C1148" s="1"/>
      <c r="D1148" s="1"/>
      <c r="E1148" s="1"/>
      <c r="H1148" s="1"/>
    </row>
    <row r="1149" spans="1:8" ht="15" customHeight="1">
      <c r="A1149" s="1"/>
      <c r="B1149" s="1"/>
      <c r="C1149" s="1"/>
      <c r="D1149" s="1"/>
      <c r="E1149" s="1"/>
      <c r="H1149" s="1"/>
    </row>
    <row r="1150" spans="1:8" ht="15" customHeight="1">
      <c r="A1150" s="1"/>
      <c r="B1150" s="1"/>
      <c r="C1150" s="1"/>
      <c r="D1150" s="1"/>
      <c r="E1150" s="1"/>
      <c r="H1150" s="1"/>
    </row>
    <row r="1151" spans="1:8" ht="15" customHeight="1">
      <c r="A1151" s="1"/>
      <c r="B1151" s="1"/>
      <c r="C1151" s="1"/>
      <c r="D1151" s="1"/>
      <c r="E1151" s="1"/>
      <c r="H1151" s="1"/>
    </row>
    <row r="1152" spans="1:8" ht="15" customHeight="1">
      <c r="A1152" s="1"/>
      <c r="B1152" s="1"/>
      <c r="C1152" s="1"/>
      <c r="D1152" s="1"/>
      <c r="E1152" s="1"/>
      <c r="H1152" s="1"/>
    </row>
    <row r="1153" spans="1:8" ht="15" customHeight="1">
      <c r="A1153" s="1"/>
      <c r="B1153" s="1"/>
      <c r="C1153" s="1"/>
      <c r="D1153" s="1"/>
      <c r="E1153" s="1"/>
      <c r="H1153" s="1"/>
    </row>
    <row r="1154" spans="1:8" ht="15" customHeight="1">
      <c r="A1154" s="1"/>
      <c r="B1154" s="1"/>
      <c r="C1154" s="1"/>
      <c r="D1154" s="1"/>
      <c r="E1154" s="1"/>
      <c r="H1154" s="1"/>
    </row>
    <row r="1155" spans="1:8" ht="15" customHeight="1">
      <c r="A1155" s="1"/>
      <c r="B1155" s="1"/>
      <c r="C1155" s="1"/>
      <c r="D1155" s="1"/>
      <c r="E1155" s="1"/>
      <c r="H1155" s="1"/>
    </row>
    <row r="1156" spans="1:8" ht="15" customHeight="1">
      <c r="A1156" s="1"/>
      <c r="B1156" s="1"/>
      <c r="C1156" s="1"/>
      <c r="D1156" s="1"/>
      <c r="E1156" s="1"/>
      <c r="H1156" s="1"/>
    </row>
    <row r="1157" spans="1:8" ht="15" customHeight="1">
      <c r="A1157" s="1"/>
      <c r="B1157" s="1"/>
      <c r="C1157" s="1"/>
      <c r="D1157" s="1"/>
      <c r="E1157" s="1"/>
      <c r="H1157" s="1"/>
    </row>
    <row r="1158" spans="1:8" ht="15" customHeight="1">
      <c r="A1158" s="1"/>
      <c r="B1158" s="1"/>
      <c r="C1158" s="1"/>
      <c r="D1158" s="1"/>
      <c r="E1158" s="1"/>
      <c r="H1158" s="1"/>
    </row>
    <row r="1159" spans="1:8" ht="15" customHeight="1">
      <c r="A1159" s="1"/>
      <c r="B1159" s="1"/>
      <c r="C1159" s="1"/>
      <c r="D1159" s="1"/>
      <c r="E1159" s="1"/>
      <c r="H1159" s="1"/>
    </row>
    <row r="1160" spans="1:8" ht="15" customHeight="1">
      <c r="A1160" s="1"/>
      <c r="B1160" s="1"/>
      <c r="C1160" s="1"/>
      <c r="D1160" s="1"/>
      <c r="E1160" s="1"/>
      <c r="H1160" s="1"/>
    </row>
    <row r="1161" spans="1:8" ht="15" customHeight="1">
      <c r="A1161" s="1"/>
      <c r="B1161" s="1"/>
      <c r="C1161" s="1"/>
      <c r="D1161" s="1"/>
      <c r="E1161" s="1"/>
      <c r="H1161" s="1"/>
    </row>
    <row r="1162" spans="1:8" ht="15" customHeight="1">
      <c r="A1162" s="1"/>
      <c r="B1162" s="1"/>
      <c r="C1162" s="1"/>
      <c r="D1162" s="1"/>
      <c r="E1162" s="1"/>
      <c r="H1162" s="1"/>
    </row>
    <row r="1163" spans="1:8" ht="15" customHeight="1">
      <c r="A1163" s="1"/>
      <c r="B1163" s="1"/>
      <c r="C1163" s="1"/>
      <c r="D1163" s="1"/>
      <c r="E1163" s="1"/>
      <c r="H1163" s="1"/>
    </row>
    <row r="1164" spans="1:8" ht="15" customHeight="1">
      <c r="A1164" s="1"/>
      <c r="B1164" s="1"/>
      <c r="C1164" s="1"/>
      <c r="D1164" s="1"/>
      <c r="E1164" s="1"/>
      <c r="H1164" s="1"/>
    </row>
    <row r="1165" spans="1:8" ht="15" customHeight="1">
      <c r="A1165" s="1"/>
      <c r="B1165" s="1"/>
      <c r="C1165" s="1"/>
      <c r="D1165" s="1"/>
      <c r="E1165" s="1"/>
      <c r="H1165" s="1"/>
    </row>
    <row r="1166" spans="1:8" ht="15" customHeight="1">
      <c r="A1166" s="1"/>
      <c r="B1166" s="1"/>
      <c r="C1166" s="1"/>
      <c r="D1166" s="1"/>
      <c r="E1166" s="1"/>
      <c r="H1166" s="1"/>
    </row>
    <row r="1167" spans="1:8" ht="15" customHeight="1">
      <c r="A1167" s="1"/>
      <c r="B1167" s="1"/>
      <c r="C1167" s="1"/>
      <c r="D1167" s="1"/>
      <c r="E1167" s="1"/>
      <c r="H1167" s="1"/>
    </row>
    <row r="1168" spans="1:8" ht="15" customHeight="1">
      <c r="A1168" s="1"/>
      <c r="B1168" s="1"/>
      <c r="C1168" s="1"/>
      <c r="D1168" s="1"/>
      <c r="E1168" s="1"/>
      <c r="H1168" s="1"/>
    </row>
    <row r="1169" spans="1:8" ht="15" customHeight="1">
      <c r="A1169" s="1"/>
      <c r="B1169" s="1"/>
      <c r="C1169" s="1"/>
      <c r="D1169" s="1"/>
      <c r="E1169" s="1"/>
      <c r="H1169" s="1"/>
    </row>
    <row r="1170" spans="1:8" ht="15" customHeight="1">
      <c r="A1170" s="1"/>
      <c r="B1170" s="1"/>
      <c r="C1170" s="1"/>
      <c r="D1170" s="1"/>
      <c r="E1170" s="1"/>
      <c r="H1170" s="1"/>
    </row>
    <row r="1171" spans="1:8" ht="13.5" customHeight="1">
      <c r="A1171" s="1"/>
      <c r="B1171" s="1"/>
      <c r="C1171" s="1"/>
      <c r="D1171" s="1"/>
      <c r="E1171" s="1"/>
      <c r="H1171" s="1"/>
    </row>
    <row r="1172" spans="1:8" ht="13.5" customHeight="1">
      <c r="A1172" s="1"/>
      <c r="B1172" s="1"/>
      <c r="C1172" s="1"/>
      <c r="D1172" s="1"/>
      <c r="E1172" s="1"/>
      <c r="H1172" s="1"/>
    </row>
    <row r="1173" spans="1:8" ht="15" customHeight="1">
      <c r="A1173" s="1"/>
      <c r="B1173" s="1"/>
      <c r="C1173" s="1"/>
      <c r="D1173" s="1"/>
      <c r="E1173" s="1"/>
      <c r="H1173" s="1"/>
    </row>
    <row r="1174" spans="1:8" ht="15" customHeight="1">
      <c r="A1174" s="1"/>
      <c r="B1174" s="1"/>
      <c r="C1174" s="1"/>
      <c r="D1174" s="1"/>
      <c r="E1174" s="1"/>
      <c r="H1174" s="1"/>
    </row>
    <row r="1175" spans="1:8" ht="15" customHeight="1">
      <c r="A1175" s="1"/>
      <c r="B1175" s="1"/>
      <c r="C1175" s="1"/>
      <c r="D1175" s="1"/>
      <c r="E1175" s="1"/>
      <c r="H1175" s="1"/>
    </row>
    <row r="1176" spans="1:8" ht="15" customHeight="1">
      <c r="A1176" s="1"/>
      <c r="B1176" s="1"/>
      <c r="C1176" s="1"/>
      <c r="D1176" s="1"/>
      <c r="E1176" s="1"/>
      <c r="H1176" s="1"/>
    </row>
    <row r="1177" spans="1:8" ht="15" customHeight="1">
      <c r="A1177" s="1"/>
      <c r="B1177" s="1"/>
      <c r="C1177" s="1"/>
      <c r="D1177" s="1"/>
      <c r="E1177" s="1"/>
      <c r="H1177" s="1"/>
    </row>
    <row r="1178" spans="1:8" ht="16.5" customHeight="1">
      <c r="A1178" s="1"/>
      <c r="B1178" s="1"/>
      <c r="C1178" s="1"/>
      <c r="D1178" s="1"/>
      <c r="E1178" s="1"/>
      <c r="H1178" s="1"/>
    </row>
    <row r="1179" spans="1:8" ht="16.5" customHeight="1">
      <c r="A1179" s="1"/>
      <c r="B1179" s="1"/>
      <c r="C1179" s="1"/>
      <c r="D1179" s="1"/>
      <c r="E1179" s="1"/>
      <c r="H1179" s="1"/>
    </row>
    <row r="1180" spans="1:8" ht="16.5" customHeight="1">
      <c r="A1180" s="1"/>
      <c r="B1180" s="1"/>
      <c r="C1180" s="1"/>
      <c r="D1180" s="1"/>
      <c r="E1180" s="1"/>
      <c r="H1180" s="1"/>
    </row>
    <row r="1181" spans="1:8" ht="16.5" customHeight="1">
      <c r="A1181" s="1"/>
      <c r="B1181" s="1"/>
      <c r="C1181" s="1"/>
      <c r="D1181" s="1"/>
      <c r="E1181" s="1"/>
      <c r="H1181" s="1"/>
    </row>
    <row r="1182" spans="1:8" ht="16.5" customHeight="1">
      <c r="A1182" s="1"/>
      <c r="B1182" s="1"/>
      <c r="C1182" s="1"/>
      <c r="D1182" s="1"/>
      <c r="E1182" s="1"/>
      <c r="H1182" s="1"/>
    </row>
    <row r="1183" spans="1:8" ht="16.5" customHeight="1">
      <c r="A1183" s="1"/>
      <c r="B1183" s="1"/>
      <c r="C1183" s="1"/>
      <c r="D1183" s="1"/>
      <c r="E1183" s="1"/>
      <c r="H1183" s="1"/>
    </row>
    <row r="1184" spans="1:8" ht="16.5" customHeight="1">
      <c r="A1184" s="1"/>
      <c r="B1184" s="1"/>
      <c r="C1184" s="1"/>
      <c r="D1184" s="1"/>
      <c r="E1184" s="1"/>
      <c r="H1184" s="1"/>
    </row>
    <row r="1185" spans="1:8" ht="15" customHeight="1">
      <c r="A1185" s="1"/>
      <c r="B1185" s="1"/>
      <c r="C1185" s="1"/>
      <c r="D1185" s="1"/>
      <c r="E1185" s="1"/>
      <c r="H1185" s="1"/>
    </row>
    <row r="1186" spans="1:8" ht="15" customHeight="1">
      <c r="A1186" s="1"/>
      <c r="B1186" s="1"/>
      <c r="C1186" s="1"/>
      <c r="D1186" s="1"/>
      <c r="E1186" s="1"/>
      <c r="H1186" s="1"/>
    </row>
    <row r="1187" spans="1:8" ht="15" customHeight="1">
      <c r="A1187" s="1"/>
      <c r="B1187" s="1"/>
      <c r="C1187" s="1"/>
      <c r="D1187" s="1"/>
      <c r="E1187" s="1"/>
      <c r="H1187" s="1"/>
    </row>
    <row r="1188" spans="1:8" ht="14.25" customHeight="1">
      <c r="A1188" s="1"/>
      <c r="B1188" s="1"/>
      <c r="C1188" s="1"/>
      <c r="D1188" s="1"/>
      <c r="E1188" s="1"/>
      <c r="H1188" s="1"/>
    </row>
    <row r="1189" spans="1:8" ht="14.25" customHeight="1">
      <c r="A1189" s="1"/>
      <c r="B1189" s="1"/>
      <c r="C1189" s="1"/>
      <c r="D1189" s="1"/>
      <c r="E1189" s="1"/>
      <c r="H1189" s="1"/>
    </row>
    <row r="1190" spans="1:8" ht="14.25" customHeight="1">
      <c r="A1190" s="1"/>
      <c r="B1190" s="1"/>
      <c r="C1190" s="1"/>
      <c r="D1190" s="1"/>
      <c r="E1190" s="1"/>
      <c r="H1190" s="1"/>
    </row>
    <row r="1191" spans="1:8" ht="14.25" customHeight="1">
      <c r="A1191" s="1"/>
      <c r="B1191" s="1"/>
      <c r="C1191" s="1"/>
      <c r="D1191" s="1"/>
      <c r="E1191" s="1"/>
      <c r="H1191" s="1"/>
    </row>
    <row r="1192" spans="1:8" ht="14.25" customHeight="1">
      <c r="A1192" s="1"/>
      <c r="B1192" s="1"/>
      <c r="C1192" s="1"/>
      <c r="D1192" s="1"/>
      <c r="E1192" s="1"/>
      <c r="H1192" s="1"/>
    </row>
    <row r="1193" spans="1:8" ht="14.25" customHeight="1">
      <c r="A1193" s="1"/>
      <c r="B1193" s="1"/>
      <c r="C1193" s="1"/>
      <c r="D1193" s="1"/>
      <c r="E1193" s="1"/>
      <c r="H1193" s="1"/>
    </row>
    <row r="1194" spans="1:8" ht="14.25" customHeight="1">
      <c r="A1194" s="1"/>
      <c r="B1194" s="1"/>
      <c r="C1194" s="1"/>
      <c r="D1194" s="1"/>
      <c r="E1194" s="1"/>
      <c r="H1194" s="1"/>
    </row>
    <row r="1195" spans="1:8" ht="14.25" customHeight="1">
      <c r="A1195" s="1"/>
      <c r="B1195" s="1"/>
      <c r="C1195" s="1"/>
      <c r="D1195" s="1"/>
      <c r="E1195" s="1"/>
      <c r="H1195" s="1"/>
    </row>
    <row r="1196" spans="1:8" ht="14.25" customHeight="1">
      <c r="A1196" s="1"/>
      <c r="B1196" s="1"/>
      <c r="C1196" s="1"/>
      <c r="D1196" s="1"/>
      <c r="E1196" s="1"/>
      <c r="H1196" s="1"/>
    </row>
    <row r="1197" spans="1:8" ht="14.25" customHeight="1">
      <c r="A1197" s="1"/>
      <c r="B1197" s="1"/>
      <c r="C1197" s="1"/>
      <c r="D1197" s="1"/>
      <c r="E1197" s="1"/>
      <c r="H1197" s="1"/>
    </row>
    <row r="1198" spans="1:8" ht="14.25" customHeight="1">
      <c r="A1198" s="1"/>
      <c r="B1198" s="1"/>
      <c r="C1198" s="1"/>
      <c r="D1198" s="1"/>
      <c r="E1198" s="1"/>
      <c r="H1198" s="1"/>
    </row>
    <row r="1199" spans="1:8" ht="14.25" customHeight="1">
      <c r="A1199" s="1"/>
      <c r="B1199" s="1"/>
      <c r="C1199" s="1"/>
      <c r="D1199" s="1"/>
      <c r="E1199" s="1"/>
      <c r="H1199" s="1"/>
    </row>
    <row r="1200" spans="1:8" ht="14.25" customHeight="1">
      <c r="A1200" s="1"/>
      <c r="B1200" s="1"/>
      <c r="C1200" s="1"/>
      <c r="D1200" s="1"/>
      <c r="E1200" s="1"/>
      <c r="H1200" s="1"/>
    </row>
    <row r="1201" spans="1:8" ht="14.25" customHeight="1">
      <c r="A1201" s="1"/>
      <c r="B1201" s="1"/>
      <c r="C1201" s="1"/>
      <c r="D1201" s="1"/>
      <c r="E1201" s="1"/>
      <c r="H1201" s="1"/>
    </row>
    <row r="1202" spans="1:8" ht="14.25" customHeight="1">
      <c r="A1202" s="1"/>
      <c r="B1202" s="1"/>
      <c r="C1202" s="1"/>
      <c r="D1202" s="1"/>
      <c r="E1202" s="1"/>
      <c r="H1202" s="1"/>
    </row>
    <row r="1203" spans="1:8" ht="14.25" customHeight="1">
      <c r="A1203" s="1"/>
      <c r="B1203" s="1"/>
      <c r="C1203" s="1"/>
      <c r="D1203" s="1"/>
      <c r="E1203" s="1"/>
      <c r="H1203" s="1"/>
    </row>
    <row r="1204" spans="1:8" ht="14.25" customHeight="1">
      <c r="A1204" s="1"/>
      <c r="B1204" s="1"/>
      <c r="C1204" s="1"/>
      <c r="D1204" s="1"/>
      <c r="E1204" s="1"/>
      <c r="H1204" s="1"/>
    </row>
    <row r="1205" spans="1:8" ht="14.25" customHeight="1">
      <c r="A1205" s="1"/>
      <c r="B1205" s="1"/>
      <c r="C1205" s="1"/>
      <c r="D1205" s="1"/>
      <c r="E1205" s="1"/>
      <c r="H1205" s="1"/>
    </row>
    <row r="1206" spans="1:8" ht="14.25" customHeight="1">
      <c r="A1206" s="1"/>
      <c r="B1206" s="1"/>
      <c r="C1206" s="1"/>
      <c r="D1206" s="1"/>
      <c r="E1206" s="1"/>
      <c r="H1206" s="1"/>
    </row>
    <row r="1207" spans="1:8" ht="14.25" customHeight="1">
      <c r="A1207" s="1"/>
      <c r="B1207" s="1"/>
      <c r="C1207" s="1"/>
      <c r="D1207" s="1"/>
      <c r="E1207" s="1"/>
      <c r="H1207" s="1"/>
    </row>
    <row r="1208" spans="1:8" ht="14.25" customHeight="1">
      <c r="A1208" s="1"/>
      <c r="B1208" s="1"/>
      <c r="C1208" s="1"/>
      <c r="D1208" s="1"/>
      <c r="E1208" s="1"/>
      <c r="H1208" s="1"/>
    </row>
    <row r="1209" spans="1:8" ht="14.25" customHeight="1">
      <c r="A1209" s="1"/>
      <c r="B1209" s="1"/>
      <c r="C1209" s="1"/>
      <c r="D1209" s="1"/>
      <c r="E1209" s="1"/>
      <c r="H1209" s="1"/>
    </row>
    <row r="1210" spans="1:8" ht="14.25" customHeight="1">
      <c r="A1210" s="1"/>
      <c r="B1210" s="1"/>
      <c r="C1210" s="1"/>
      <c r="D1210" s="1"/>
      <c r="E1210" s="1"/>
      <c r="H1210" s="1"/>
    </row>
    <row r="1211" spans="1:8" ht="14.25" customHeight="1">
      <c r="A1211" s="1"/>
      <c r="B1211" s="1"/>
      <c r="C1211" s="1"/>
      <c r="D1211" s="1"/>
      <c r="E1211" s="1"/>
      <c r="H1211" s="1"/>
    </row>
    <row r="1212" spans="1:8" ht="14.25" customHeight="1">
      <c r="A1212" s="1"/>
      <c r="B1212" s="1"/>
      <c r="C1212" s="1"/>
      <c r="D1212" s="1"/>
      <c r="E1212" s="1"/>
      <c r="H1212" s="1"/>
    </row>
    <row r="1213" spans="1:8" ht="14.25" customHeight="1">
      <c r="A1213" s="1"/>
      <c r="B1213" s="1"/>
      <c r="C1213" s="1"/>
      <c r="D1213" s="1"/>
      <c r="E1213" s="1"/>
      <c r="H1213" s="1"/>
    </row>
    <row r="1214" spans="1:8" ht="14.25" customHeight="1">
      <c r="A1214" s="1"/>
      <c r="B1214" s="1"/>
      <c r="C1214" s="1"/>
      <c r="D1214" s="1"/>
      <c r="E1214" s="1"/>
      <c r="H1214" s="1"/>
    </row>
    <row r="1215" spans="1:8" ht="14.25" customHeight="1">
      <c r="A1215" s="1"/>
      <c r="B1215" s="1"/>
      <c r="C1215" s="1"/>
      <c r="D1215" s="1"/>
      <c r="E1215" s="1"/>
      <c r="H1215" s="1"/>
    </row>
    <row r="1216" spans="1:8" ht="14.25" customHeight="1">
      <c r="A1216" s="1"/>
      <c r="B1216" s="1"/>
      <c r="C1216" s="1"/>
      <c r="D1216" s="1"/>
      <c r="E1216" s="1"/>
      <c r="H1216" s="1"/>
    </row>
    <row r="1217" spans="1:8" ht="14.25" customHeight="1">
      <c r="A1217" s="1"/>
      <c r="B1217" s="1"/>
      <c r="C1217" s="1"/>
      <c r="D1217" s="1"/>
      <c r="E1217" s="1"/>
      <c r="H1217" s="1"/>
    </row>
    <row r="1218" spans="1:8" ht="14.25" customHeight="1">
      <c r="A1218" s="1"/>
      <c r="B1218" s="1"/>
      <c r="C1218" s="1"/>
      <c r="D1218" s="1"/>
      <c r="E1218" s="1"/>
      <c r="H1218" s="1"/>
    </row>
    <row r="1219" spans="1:8" ht="14.25" customHeight="1">
      <c r="A1219" s="1"/>
      <c r="B1219" s="1"/>
      <c r="C1219" s="1"/>
      <c r="D1219" s="1"/>
      <c r="E1219" s="1"/>
      <c r="H1219" s="1"/>
    </row>
    <row r="1220" spans="1:8" ht="14.25" customHeight="1">
      <c r="A1220" s="1"/>
      <c r="B1220" s="1"/>
      <c r="C1220" s="1"/>
      <c r="D1220" s="1"/>
      <c r="E1220" s="1"/>
      <c r="H1220" s="1"/>
    </row>
    <row r="1221" spans="1:8" ht="14.25" customHeight="1">
      <c r="A1221" s="1"/>
      <c r="B1221" s="1"/>
      <c r="C1221" s="1"/>
      <c r="D1221" s="1"/>
      <c r="E1221" s="1"/>
      <c r="H1221" s="1"/>
    </row>
    <row r="1222" spans="1:8" ht="14.25" customHeight="1">
      <c r="A1222" s="1"/>
      <c r="B1222" s="1"/>
      <c r="C1222" s="1"/>
      <c r="D1222" s="1"/>
      <c r="E1222" s="1"/>
      <c r="H1222" s="1"/>
    </row>
    <row r="1223" spans="1:8" ht="14.25" customHeight="1">
      <c r="A1223" s="1"/>
      <c r="B1223" s="1"/>
      <c r="C1223" s="1"/>
      <c r="D1223" s="1"/>
      <c r="E1223" s="1"/>
      <c r="H1223" s="1"/>
    </row>
    <row r="1224" spans="1:8" ht="14.25" customHeight="1">
      <c r="A1224" s="1"/>
      <c r="B1224" s="1"/>
      <c r="C1224" s="1"/>
      <c r="D1224" s="1"/>
      <c r="E1224" s="1"/>
      <c r="H1224" s="1"/>
    </row>
    <row r="1225" spans="1:8" ht="14.25" customHeight="1">
      <c r="A1225" s="1"/>
      <c r="B1225" s="1"/>
      <c r="C1225" s="1"/>
      <c r="D1225" s="1"/>
      <c r="E1225" s="1"/>
      <c r="H1225" s="1"/>
    </row>
    <row r="1226" spans="1:8" ht="14.25" customHeight="1">
      <c r="A1226" s="1"/>
      <c r="B1226" s="1"/>
      <c r="C1226" s="1"/>
      <c r="D1226" s="1"/>
      <c r="E1226" s="1"/>
      <c r="H1226" s="1"/>
    </row>
    <row r="1227" spans="1:8" ht="14.25" customHeight="1">
      <c r="A1227" s="1"/>
      <c r="B1227" s="1"/>
      <c r="C1227" s="1"/>
      <c r="D1227" s="1"/>
      <c r="E1227" s="1"/>
      <c r="H1227" s="1"/>
    </row>
    <row r="1228" spans="1:8" ht="14.25" customHeight="1">
      <c r="A1228" s="1"/>
      <c r="B1228" s="1"/>
      <c r="C1228" s="1"/>
      <c r="D1228" s="1"/>
      <c r="E1228" s="1"/>
      <c r="H1228" s="1"/>
    </row>
    <row r="1229" spans="1:8" ht="14.25" customHeight="1">
      <c r="A1229" s="1"/>
      <c r="B1229" s="1"/>
      <c r="C1229" s="1"/>
      <c r="D1229" s="1"/>
      <c r="E1229" s="1"/>
      <c r="H1229" s="1"/>
    </row>
    <row r="1230" spans="1:8" ht="14.25" customHeight="1">
      <c r="A1230" s="1"/>
      <c r="B1230" s="1"/>
      <c r="C1230" s="1"/>
      <c r="D1230" s="1"/>
      <c r="E1230" s="1"/>
      <c r="H1230" s="1"/>
    </row>
    <row r="1231" spans="1:8" ht="14.25" customHeight="1">
      <c r="A1231" s="1"/>
      <c r="B1231" s="1"/>
      <c r="C1231" s="1"/>
      <c r="D1231" s="1"/>
      <c r="E1231" s="1"/>
      <c r="H1231" s="1"/>
    </row>
    <row r="1232" spans="1:8" ht="14.25" customHeight="1">
      <c r="A1232" s="1"/>
      <c r="B1232" s="1"/>
      <c r="C1232" s="1"/>
      <c r="D1232" s="1"/>
      <c r="E1232" s="1"/>
      <c r="H1232" s="1"/>
    </row>
    <row r="1233" spans="1:8" ht="14.25" customHeight="1">
      <c r="A1233" s="1"/>
      <c r="B1233" s="1"/>
      <c r="C1233" s="1"/>
      <c r="D1233" s="1"/>
      <c r="E1233" s="1"/>
      <c r="H1233" s="1"/>
    </row>
    <row r="1234" spans="1:8" ht="14.25" customHeight="1">
      <c r="A1234" s="1"/>
      <c r="B1234" s="1"/>
      <c r="C1234" s="1"/>
      <c r="D1234" s="1"/>
      <c r="E1234" s="1"/>
      <c r="H1234" s="1"/>
    </row>
    <row r="1235" spans="1:8" ht="14.25" customHeight="1">
      <c r="A1235" s="1"/>
      <c r="B1235" s="1"/>
      <c r="C1235" s="1"/>
      <c r="D1235" s="1"/>
      <c r="E1235" s="1"/>
      <c r="H1235" s="1"/>
    </row>
    <row r="1236" spans="1:8" ht="14.25" customHeight="1">
      <c r="A1236" s="1"/>
      <c r="B1236" s="1"/>
      <c r="C1236" s="1"/>
      <c r="D1236" s="1"/>
      <c r="E1236" s="1"/>
      <c r="H1236" s="1"/>
    </row>
    <row r="1237" spans="1:8" ht="14.25" customHeight="1">
      <c r="A1237" s="1"/>
      <c r="B1237" s="1"/>
      <c r="C1237" s="1"/>
      <c r="D1237" s="1"/>
      <c r="E1237" s="1"/>
      <c r="H1237" s="1"/>
    </row>
    <row r="1238" spans="1:8" ht="14.25" customHeight="1">
      <c r="A1238" s="1"/>
      <c r="B1238" s="1"/>
      <c r="C1238" s="1"/>
      <c r="D1238" s="1"/>
      <c r="E1238" s="1"/>
      <c r="H1238" s="1"/>
    </row>
    <row r="1239" spans="1:8" ht="14.25" customHeight="1">
      <c r="A1239" s="1"/>
      <c r="B1239" s="1"/>
      <c r="C1239" s="1"/>
      <c r="D1239" s="1"/>
      <c r="E1239" s="1"/>
      <c r="H1239" s="1"/>
    </row>
    <row r="1240" spans="1:5" ht="14.25" customHeight="1">
      <c r="A1240" s="1"/>
      <c r="B1240" s="1"/>
      <c r="C1240" s="1"/>
      <c r="D1240" s="1"/>
      <c r="E1240" s="1"/>
    </row>
    <row r="1241" spans="1:5" ht="14.25" customHeight="1">
      <c r="A1241" s="1"/>
      <c r="B1241" s="1"/>
      <c r="C1241" s="1"/>
      <c r="D1241" s="1"/>
      <c r="E1241" s="1"/>
    </row>
    <row r="1242" spans="1:5" ht="14.25" customHeight="1">
      <c r="A1242" s="1"/>
      <c r="B1242" s="1"/>
      <c r="C1242" s="1"/>
      <c r="D1242" s="1"/>
      <c r="E1242" s="1"/>
    </row>
    <row r="1243" spans="1:5" ht="14.25" customHeight="1">
      <c r="A1243" s="1"/>
      <c r="B1243" s="1"/>
      <c r="C1243" s="1"/>
      <c r="D1243" s="1"/>
      <c r="E1243" s="1"/>
    </row>
    <row r="1244" spans="1:5" ht="14.25" customHeight="1">
      <c r="A1244" s="1"/>
      <c r="B1244" s="1"/>
      <c r="C1244" s="1"/>
      <c r="D1244" s="1"/>
      <c r="E1244" s="1"/>
    </row>
    <row r="1245" spans="1:5" ht="14.25" customHeight="1">
      <c r="A1245" s="1"/>
      <c r="B1245" s="1"/>
      <c r="C1245" s="1"/>
      <c r="D1245" s="1"/>
      <c r="E1245" s="1"/>
    </row>
    <row r="1246" ht="14.25" customHeight="1"/>
    <row r="1247" ht="14.25" customHeight="1"/>
    <row r="1248" ht="14.25" customHeight="1"/>
    <row r="1249" ht="14.25" customHeight="1"/>
    <row r="1250" ht="19.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</sheetData>
  <sheetProtection/>
  <mergeCells count="632">
    <mergeCell ref="A110:C110"/>
    <mergeCell ref="A377:E377"/>
    <mergeCell ref="A379:C379"/>
    <mergeCell ref="A386:C386"/>
    <mergeCell ref="A399:E399"/>
    <mergeCell ref="A401:C401"/>
    <mergeCell ref="C798:C802"/>
    <mergeCell ref="A798:B802"/>
    <mergeCell ref="A547:C547"/>
    <mergeCell ref="A559:C559"/>
    <mergeCell ref="B599:C602"/>
    <mergeCell ref="C1120:C1121"/>
    <mergeCell ref="A1120:B1121"/>
    <mergeCell ref="A541:E541"/>
    <mergeCell ref="A369:C369"/>
    <mergeCell ref="A289:C289"/>
    <mergeCell ref="A543:C543"/>
    <mergeCell ref="B677:C677"/>
    <mergeCell ref="B670:C670"/>
    <mergeCell ref="A404:C404"/>
    <mergeCell ref="A348:C348"/>
    <mergeCell ref="A839:B839"/>
    <mergeCell ref="A152:C152"/>
    <mergeCell ref="A338:C338"/>
    <mergeCell ref="A129:C129"/>
    <mergeCell ref="A211:C211"/>
    <mergeCell ref="B598:C598"/>
    <mergeCell ref="A678:A683"/>
    <mergeCell ref="A150:E150"/>
    <mergeCell ref="A819:B822"/>
    <mergeCell ref="A527:E527"/>
    <mergeCell ref="A826:B829"/>
    <mergeCell ref="A582:C582"/>
    <mergeCell ref="C734:C736"/>
    <mergeCell ref="C56:D56"/>
    <mergeCell ref="A56:B56"/>
    <mergeCell ref="A421:C421"/>
    <mergeCell ref="A58:B58"/>
    <mergeCell ref="C58:D58"/>
    <mergeCell ref="A529:C529"/>
    <mergeCell ref="A534:C534"/>
    <mergeCell ref="C833:C836"/>
    <mergeCell ref="A844:B844"/>
    <mergeCell ref="H849:H850"/>
    <mergeCell ref="H856:H857"/>
    <mergeCell ref="H839:H840"/>
    <mergeCell ref="C55:D55"/>
    <mergeCell ref="A55:B55"/>
    <mergeCell ref="A774:B774"/>
    <mergeCell ref="A96:E96"/>
    <mergeCell ref="A114:C114"/>
    <mergeCell ref="A1108:B1108"/>
    <mergeCell ref="A1109:B1109"/>
    <mergeCell ref="C1102:C1106"/>
    <mergeCell ref="A1102:B1106"/>
    <mergeCell ref="A866:B866"/>
    <mergeCell ref="A845:B846"/>
    <mergeCell ref="C879:D879"/>
    <mergeCell ref="A879:B879"/>
    <mergeCell ref="C875:D875"/>
    <mergeCell ref="A1100:B1100"/>
    <mergeCell ref="A1101:B1101"/>
    <mergeCell ref="C28:D28"/>
    <mergeCell ref="A28:B28"/>
    <mergeCell ref="A784:B788"/>
    <mergeCell ref="A832:B832"/>
    <mergeCell ref="A394:C394"/>
    <mergeCell ref="C1090:C1091"/>
    <mergeCell ref="A333:E333"/>
    <mergeCell ref="A335:C335"/>
    <mergeCell ref="A1054:B1054"/>
    <mergeCell ref="A1078:B1078"/>
    <mergeCell ref="C845:C846"/>
    <mergeCell ref="A1062:B1062"/>
    <mergeCell ref="A1060:B1060"/>
    <mergeCell ref="A1077:B1077"/>
    <mergeCell ref="C866:D866"/>
    <mergeCell ref="C882:D882"/>
    <mergeCell ref="A1053:B1053"/>
    <mergeCell ref="A978:B978"/>
    <mergeCell ref="C1095:C1098"/>
    <mergeCell ref="A1095:B1098"/>
    <mergeCell ref="A1094:B1094"/>
    <mergeCell ref="A1089:B1089"/>
    <mergeCell ref="A1081:B1081"/>
    <mergeCell ref="A1093:B1093"/>
    <mergeCell ref="A1088:B1088"/>
    <mergeCell ref="A1090:B1091"/>
    <mergeCell ref="A174:C174"/>
    <mergeCell ref="A1015:B1015"/>
    <mergeCell ref="A1080:B1080"/>
    <mergeCell ref="C779:C780"/>
    <mergeCell ref="A779:B780"/>
    <mergeCell ref="A783:B783"/>
    <mergeCell ref="C1008:C1012"/>
    <mergeCell ref="C987:C994"/>
    <mergeCell ref="A987:B994"/>
    <mergeCell ref="A929:E929"/>
    <mergeCell ref="A840:B841"/>
    <mergeCell ref="C840:C841"/>
    <mergeCell ref="A84:C84"/>
    <mergeCell ref="A87:C87"/>
    <mergeCell ref="A124:C124"/>
    <mergeCell ref="A98:C98"/>
    <mergeCell ref="A274:E274"/>
    <mergeCell ref="A137:E137"/>
    <mergeCell ref="A266:C266"/>
    <mergeCell ref="A172:E172"/>
    <mergeCell ref="A187:C187"/>
    <mergeCell ref="A193:C193"/>
    <mergeCell ref="A232:E232"/>
    <mergeCell ref="B642:C642"/>
    <mergeCell ref="B620:C620"/>
    <mergeCell ref="B585:C588"/>
    <mergeCell ref="B634:C634"/>
    <mergeCell ref="A252:E252"/>
    <mergeCell ref="A585:A588"/>
    <mergeCell ref="A276:C276"/>
    <mergeCell ref="A143:C143"/>
    <mergeCell ref="A185:E185"/>
    <mergeCell ref="H627:H628"/>
    <mergeCell ref="A656:A660"/>
    <mergeCell ref="B656:C660"/>
    <mergeCell ref="B592:C595"/>
    <mergeCell ref="A592:A595"/>
    <mergeCell ref="B635:C639"/>
    <mergeCell ref="B628:C631"/>
    <mergeCell ref="B627:C627"/>
    <mergeCell ref="B643:C645"/>
    <mergeCell ref="B590:C590"/>
    <mergeCell ref="A239:C239"/>
    <mergeCell ref="B648:C648"/>
    <mergeCell ref="H844:H845"/>
    <mergeCell ref="B694:C696"/>
    <mergeCell ref="B678:C683"/>
    <mergeCell ref="B663:C663"/>
    <mergeCell ref="B687:C690"/>
    <mergeCell ref="H620:H621"/>
    <mergeCell ref="A715:B716"/>
    <mergeCell ref="A687:A690"/>
    <mergeCell ref="A694:A696"/>
    <mergeCell ref="A714:B714"/>
    <mergeCell ref="B649:C652"/>
    <mergeCell ref="A818:B818"/>
    <mergeCell ref="C764:C766"/>
    <mergeCell ref="A725:B725"/>
    <mergeCell ref="B700:C703"/>
    <mergeCell ref="B699:C699"/>
    <mergeCell ref="A720:B721"/>
    <mergeCell ref="H774:H775"/>
    <mergeCell ref="H744:H745"/>
    <mergeCell ref="H748:H749"/>
    <mergeCell ref="H757:H758"/>
    <mergeCell ref="H763:H764"/>
    <mergeCell ref="H769:H770"/>
    <mergeCell ref="C749:C754"/>
    <mergeCell ref="A764:B766"/>
    <mergeCell ref="H797:H798"/>
    <mergeCell ref="H805:H806"/>
    <mergeCell ref="H818:H819"/>
    <mergeCell ref="H825:H826"/>
    <mergeCell ref="H832:H833"/>
    <mergeCell ref="H783:H784"/>
    <mergeCell ref="H778:H779"/>
    <mergeCell ref="H791:H792"/>
    <mergeCell ref="Q929:T929"/>
    <mergeCell ref="Q735:U736"/>
    <mergeCell ref="A884:B884"/>
    <mergeCell ref="A745:B745"/>
    <mergeCell ref="A791:B791"/>
    <mergeCell ref="A867:B867"/>
    <mergeCell ref="C877:D877"/>
    <mergeCell ref="H739:H740"/>
    <mergeCell ref="B899:C899"/>
    <mergeCell ref="C878:D878"/>
    <mergeCell ref="A878:B878"/>
    <mergeCell ref="B911:C911"/>
    <mergeCell ref="H931:H932"/>
    <mergeCell ref="B907:C907"/>
    <mergeCell ref="C880:D880"/>
    <mergeCell ref="A880:B880"/>
    <mergeCell ref="B902:C902"/>
    <mergeCell ref="B901:C901"/>
    <mergeCell ref="C871:D871"/>
    <mergeCell ref="A871:B871"/>
    <mergeCell ref="A869:B869"/>
    <mergeCell ref="A875:B875"/>
    <mergeCell ref="A874:B874"/>
    <mergeCell ref="C873:D873"/>
    <mergeCell ref="A872:B872"/>
    <mergeCell ref="C874:D874"/>
    <mergeCell ref="C869:D869"/>
    <mergeCell ref="A763:B763"/>
    <mergeCell ref="A816:B816"/>
    <mergeCell ref="A833:B836"/>
    <mergeCell ref="A748:B748"/>
    <mergeCell ref="A805:B805"/>
    <mergeCell ref="A817:B817"/>
    <mergeCell ref="A775:B775"/>
    <mergeCell ref="A778:B778"/>
    <mergeCell ref="A797:B797"/>
    <mergeCell ref="A825:B825"/>
    <mergeCell ref="C819:C822"/>
    <mergeCell ref="C826:C829"/>
    <mergeCell ref="A954:B954"/>
    <mergeCell ref="A926:E926"/>
    <mergeCell ref="A888:E888"/>
    <mergeCell ref="C876:D876"/>
    <mergeCell ref="A938:B938"/>
    <mergeCell ref="B893:C893"/>
    <mergeCell ref="B898:C898"/>
    <mergeCell ref="B904:C904"/>
    <mergeCell ref="A1007:B1007"/>
    <mergeCell ref="A1001:B1001"/>
    <mergeCell ref="A966:B966"/>
    <mergeCell ref="A939:B944"/>
    <mergeCell ref="A1005:B1005"/>
    <mergeCell ref="A960:B960"/>
    <mergeCell ref="A948:B952"/>
    <mergeCell ref="A947:B947"/>
    <mergeCell ref="A936:B936"/>
    <mergeCell ref="B914:C914"/>
    <mergeCell ref="A937:B937"/>
    <mergeCell ref="C948:C952"/>
    <mergeCell ref="B892:C892"/>
    <mergeCell ref="B890:C890"/>
    <mergeCell ref="A946:B946"/>
    <mergeCell ref="A932:B935"/>
    <mergeCell ref="A927:E927"/>
    <mergeCell ref="B905:C905"/>
    <mergeCell ref="C792:C794"/>
    <mergeCell ref="A792:B794"/>
    <mergeCell ref="C784:C788"/>
    <mergeCell ref="A870:B870"/>
    <mergeCell ref="A865:E865"/>
    <mergeCell ref="A873:B873"/>
    <mergeCell ref="C868:D868"/>
    <mergeCell ref="C872:D872"/>
    <mergeCell ref="A868:B868"/>
    <mergeCell ref="C867:D867"/>
    <mergeCell ref="A876:B876"/>
    <mergeCell ref="A985:B985"/>
    <mergeCell ref="A931:B931"/>
    <mergeCell ref="B889:C889"/>
    <mergeCell ref="B908:C908"/>
    <mergeCell ref="B895:C895"/>
    <mergeCell ref="B913:C913"/>
    <mergeCell ref="C932:C935"/>
    <mergeCell ref="B896:C896"/>
    <mergeCell ref="A918:E918"/>
    <mergeCell ref="C6:D6"/>
    <mergeCell ref="A6:B6"/>
    <mergeCell ref="A10:B10"/>
    <mergeCell ref="C10:D10"/>
    <mergeCell ref="A1:E1"/>
    <mergeCell ref="A2:C2"/>
    <mergeCell ref="A4:E4"/>
    <mergeCell ref="A3:C3"/>
    <mergeCell ref="A5:D5"/>
    <mergeCell ref="A9:B9"/>
    <mergeCell ref="A60:B60"/>
    <mergeCell ref="A37:D37"/>
    <mergeCell ref="A649:A652"/>
    <mergeCell ref="C39:D39"/>
    <mergeCell ref="B671:C674"/>
    <mergeCell ref="A719:B719"/>
    <mergeCell ref="C38:D38"/>
    <mergeCell ref="A39:B39"/>
    <mergeCell ref="A61:E61"/>
    <mergeCell ref="C54:D54"/>
    <mergeCell ref="A42:B42"/>
    <mergeCell ref="A51:B51"/>
    <mergeCell ref="C47:D47"/>
    <mergeCell ref="A43:B43"/>
    <mergeCell ref="C45:D45"/>
    <mergeCell ref="A47:B47"/>
    <mergeCell ref="C51:D51"/>
    <mergeCell ref="A45:B45"/>
    <mergeCell ref="C44:D44"/>
    <mergeCell ref="A44:B44"/>
    <mergeCell ref="A53:B53"/>
    <mergeCell ref="A63:E63"/>
    <mergeCell ref="A38:B38"/>
    <mergeCell ref="A30:B30"/>
    <mergeCell ref="A12:B12"/>
    <mergeCell ref="A14:B14"/>
    <mergeCell ref="A32:D32"/>
    <mergeCell ref="A33:B33"/>
    <mergeCell ref="C33:D33"/>
    <mergeCell ref="A35:B35"/>
    <mergeCell ref="C35:D35"/>
    <mergeCell ref="C26:D26"/>
    <mergeCell ref="C17:D17"/>
    <mergeCell ref="C13:D13"/>
    <mergeCell ref="A25:B25"/>
    <mergeCell ref="A7:B7"/>
    <mergeCell ref="C11:D11"/>
    <mergeCell ref="C7:D7"/>
    <mergeCell ref="C9:D9"/>
    <mergeCell ref="A26:B26"/>
    <mergeCell ref="C27:D27"/>
    <mergeCell ref="A11:B11"/>
    <mergeCell ref="A13:B13"/>
    <mergeCell ref="C15:D15"/>
    <mergeCell ref="A15:B15"/>
    <mergeCell ref="C16:D16"/>
    <mergeCell ref="A17:B17"/>
    <mergeCell ref="C12:D12"/>
    <mergeCell ref="C14:D14"/>
    <mergeCell ref="A16:B16"/>
    <mergeCell ref="D36:E36"/>
    <mergeCell ref="A18:B18"/>
    <mergeCell ref="C19:D19"/>
    <mergeCell ref="A19:B19"/>
    <mergeCell ref="C30:D30"/>
    <mergeCell ref="C20:D20"/>
    <mergeCell ref="C18:D18"/>
    <mergeCell ref="A20:B20"/>
    <mergeCell ref="C25:D25"/>
    <mergeCell ref="A27:B27"/>
    <mergeCell ref="A41:B41"/>
    <mergeCell ref="C53:D53"/>
    <mergeCell ref="A122:E122"/>
    <mergeCell ref="A108:E108"/>
    <mergeCell ref="A82:E82"/>
    <mergeCell ref="A62:E62"/>
    <mergeCell ref="A54:B54"/>
    <mergeCell ref="A102:C102"/>
    <mergeCell ref="C41:D41"/>
    <mergeCell ref="C60:D60"/>
    <mergeCell ref="A65:E65"/>
    <mergeCell ref="A67:C67"/>
    <mergeCell ref="A139:C139"/>
    <mergeCell ref="A218:E218"/>
    <mergeCell ref="A178:C178"/>
    <mergeCell ref="A207:C207"/>
    <mergeCell ref="A158:E158"/>
    <mergeCell ref="A160:C160"/>
    <mergeCell ref="A165:C165"/>
    <mergeCell ref="A205:E205"/>
    <mergeCell ref="C42:D42"/>
    <mergeCell ref="B606:C610"/>
    <mergeCell ref="A599:A602"/>
    <mergeCell ref="C43:D43"/>
    <mergeCell ref="A224:C224"/>
    <mergeCell ref="A234:C234"/>
    <mergeCell ref="A259:C259"/>
    <mergeCell ref="A247:C247"/>
    <mergeCell ref="A321:C321"/>
    <mergeCell ref="A328:C328"/>
    <mergeCell ref="A920:E920"/>
    <mergeCell ref="A916:E916"/>
    <mergeCell ref="C1003:C1004"/>
    <mergeCell ref="C939:C944"/>
    <mergeCell ref="C998:C999"/>
    <mergeCell ref="H677:H678"/>
    <mergeCell ref="H719:H720"/>
    <mergeCell ref="H724:H725"/>
    <mergeCell ref="H728:H729"/>
    <mergeCell ref="H733:H734"/>
    <mergeCell ref="A886:E886"/>
    <mergeCell ref="A1019:B1019"/>
    <mergeCell ref="A1024:B1024"/>
    <mergeCell ref="C1016:C1017"/>
    <mergeCell ref="A1003:B1004"/>
    <mergeCell ref="H686:H687"/>
    <mergeCell ref="H693:H694"/>
    <mergeCell ref="H699:H700"/>
    <mergeCell ref="H706:H707"/>
    <mergeCell ref="H714:H715"/>
    <mergeCell ref="A877:B877"/>
    <mergeCell ref="A1061:B1061"/>
    <mergeCell ref="C1063:C1066"/>
    <mergeCell ref="A1070:B1074"/>
    <mergeCell ref="C1070:C1074"/>
    <mergeCell ref="A1063:B1066"/>
    <mergeCell ref="A1025:B1025"/>
    <mergeCell ref="A1026:B1031"/>
    <mergeCell ref="A1033:B1033"/>
    <mergeCell ref="A1050:B1050"/>
    <mergeCell ref="A1034:B1034"/>
    <mergeCell ref="C1026:C1031"/>
    <mergeCell ref="A1048:B1048"/>
    <mergeCell ref="A1038:B1038"/>
    <mergeCell ref="A1039:B1039"/>
    <mergeCell ref="A1037:B1037"/>
    <mergeCell ref="A1044:B1044"/>
    <mergeCell ref="A1045:B1045"/>
    <mergeCell ref="A1043:B1043"/>
    <mergeCell ref="A1036:B1036"/>
    <mergeCell ref="A1035:B1035"/>
    <mergeCell ref="A1051:B1051"/>
    <mergeCell ref="A1049:B1049"/>
    <mergeCell ref="A1040:B1040"/>
    <mergeCell ref="A1046:B1046"/>
    <mergeCell ref="A1042:B1042"/>
    <mergeCell ref="A1047:B1047"/>
    <mergeCell ref="A1041:B1041"/>
    <mergeCell ref="C968:C971"/>
    <mergeCell ref="A967:B967"/>
    <mergeCell ref="A975:B975"/>
    <mergeCell ref="C956:C957"/>
    <mergeCell ref="A958:B958"/>
    <mergeCell ref="A961:B964"/>
    <mergeCell ref="A956:B957"/>
    <mergeCell ref="A959:B959"/>
    <mergeCell ref="A974:B974"/>
    <mergeCell ref="A973:B973"/>
    <mergeCell ref="C961:C964"/>
    <mergeCell ref="A955:B955"/>
    <mergeCell ref="A1020:B1020"/>
    <mergeCell ref="A1016:B1017"/>
    <mergeCell ref="A1000:B1000"/>
    <mergeCell ref="A997:B997"/>
    <mergeCell ref="A998:B999"/>
    <mergeCell ref="A1006:B1006"/>
    <mergeCell ref="A1008:B1012"/>
    <mergeCell ref="A1014:B1014"/>
    <mergeCell ref="A743:B743"/>
    <mergeCell ref="C883:D883"/>
    <mergeCell ref="A986:B986"/>
    <mergeCell ref="A1002:B1002"/>
    <mergeCell ref="A968:B971"/>
    <mergeCell ref="A301:E301"/>
    <mergeCell ref="A303:C303"/>
    <mergeCell ref="B692:C692"/>
    <mergeCell ref="A769:B769"/>
    <mergeCell ref="A757:B757"/>
    <mergeCell ref="A738:B738"/>
    <mergeCell ref="A728:B728"/>
    <mergeCell ref="A742:B742"/>
    <mergeCell ref="C740:C741"/>
    <mergeCell ref="A744:B744"/>
    <mergeCell ref="A254:C254"/>
    <mergeCell ref="A353:E353"/>
    <mergeCell ref="A355:C355"/>
    <mergeCell ref="A314:E314"/>
    <mergeCell ref="A287:E287"/>
    <mergeCell ref="A281:C281"/>
    <mergeCell ref="A292:C292"/>
    <mergeCell ref="C34:D34"/>
    <mergeCell ref="A34:B34"/>
    <mergeCell ref="C870:D870"/>
    <mergeCell ref="B910:C910"/>
    <mergeCell ref="A269:C269"/>
    <mergeCell ref="A614:A617"/>
    <mergeCell ref="A749:B754"/>
    <mergeCell ref="A46:B46"/>
    <mergeCell ref="A734:B736"/>
    <mergeCell ref="A220:C220"/>
    <mergeCell ref="A733:B733"/>
    <mergeCell ref="A724:B724"/>
    <mergeCell ref="A671:A674"/>
    <mergeCell ref="B655:C655"/>
    <mergeCell ref="A664:A667"/>
    <mergeCell ref="A316:C316"/>
    <mergeCell ref="C715:C716"/>
    <mergeCell ref="B693:C693"/>
    <mergeCell ref="A606:A610"/>
    <mergeCell ref="A628:A631"/>
    <mergeCell ref="A414:C414"/>
    <mergeCell ref="A417:C417"/>
    <mergeCell ref="A308:C308"/>
    <mergeCell ref="A635:A639"/>
    <mergeCell ref="A446:E446"/>
    <mergeCell ref="A448:C448"/>
    <mergeCell ref="A359:C359"/>
    <mergeCell ref="A372:C372"/>
    <mergeCell ref="A700:A703"/>
    <mergeCell ref="A707:A710"/>
    <mergeCell ref="B613:C613"/>
    <mergeCell ref="A643:A645"/>
    <mergeCell ref="B686:C686"/>
    <mergeCell ref="B664:C667"/>
    <mergeCell ref="B621:C624"/>
    <mergeCell ref="A621:A624"/>
    <mergeCell ref="B707:C710"/>
    <mergeCell ref="B706:C706"/>
    <mergeCell ref="B597:C597"/>
    <mergeCell ref="B591:C591"/>
    <mergeCell ref="B605:C605"/>
    <mergeCell ref="A412:E412"/>
    <mergeCell ref="C1021:C1022"/>
    <mergeCell ref="A1021:B1022"/>
    <mergeCell ref="A856:B856"/>
    <mergeCell ref="A857:B859"/>
    <mergeCell ref="C857:C859"/>
    <mergeCell ref="A452:C452"/>
    <mergeCell ref="C720:C721"/>
    <mergeCell ref="C29:D29"/>
    <mergeCell ref="A29:B29"/>
    <mergeCell ref="C770:C771"/>
    <mergeCell ref="A770:B771"/>
    <mergeCell ref="C806:C815"/>
    <mergeCell ref="A806:B815"/>
    <mergeCell ref="A426:E426"/>
    <mergeCell ref="A428:C428"/>
    <mergeCell ref="A435:C435"/>
    <mergeCell ref="A441:C441"/>
    <mergeCell ref="A883:B883"/>
    <mergeCell ref="A460:E460"/>
    <mergeCell ref="A462:C462"/>
    <mergeCell ref="A466:C466"/>
    <mergeCell ref="A477:E477"/>
    <mergeCell ref="A479:C479"/>
    <mergeCell ref="A849:B849"/>
    <mergeCell ref="A850:B853"/>
    <mergeCell ref="C850:C853"/>
    <mergeCell ref="A492:C492"/>
    <mergeCell ref="A501:C501"/>
    <mergeCell ref="A506:E506"/>
    <mergeCell ref="A508:C508"/>
    <mergeCell ref="A513:C513"/>
    <mergeCell ref="A882:B882"/>
    <mergeCell ref="C881:D881"/>
    <mergeCell ref="A881:B881"/>
    <mergeCell ref="A739:B739"/>
    <mergeCell ref="A740:B741"/>
    <mergeCell ref="A564:E564"/>
    <mergeCell ref="H584:H585"/>
    <mergeCell ref="H591:H592"/>
    <mergeCell ref="H598:H599"/>
    <mergeCell ref="H605:H606"/>
    <mergeCell ref="H613:H614"/>
    <mergeCell ref="B584:C584"/>
    <mergeCell ref="B614:C617"/>
    <mergeCell ref="B596:C596"/>
    <mergeCell ref="B604:C604"/>
    <mergeCell ref="H634:H635"/>
    <mergeCell ref="H642:H643"/>
    <mergeCell ref="H648:H649"/>
    <mergeCell ref="H655:H656"/>
    <mergeCell ref="H663:H664"/>
    <mergeCell ref="H670:H671"/>
    <mergeCell ref="H1007:H1008"/>
    <mergeCell ref="H1015:H1016"/>
    <mergeCell ref="H938:H939"/>
    <mergeCell ref="H947:H948"/>
    <mergeCell ref="H955:H956"/>
    <mergeCell ref="H960:H961"/>
    <mergeCell ref="H967:H968"/>
    <mergeCell ref="H974:H975"/>
    <mergeCell ref="H1089:H1090"/>
    <mergeCell ref="H1094:H1095"/>
    <mergeCell ref="H1020:H1021"/>
    <mergeCell ref="H1025:H1026"/>
    <mergeCell ref="H1034:H1035"/>
    <mergeCell ref="H1038:H1039"/>
    <mergeCell ref="H1042:H1043"/>
    <mergeCell ref="H1046:H1047"/>
    <mergeCell ref="H1050:H1051"/>
    <mergeCell ref="H1054:H1055"/>
    <mergeCell ref="C729:C730"/>
    <mergeCell ref="A729:B730"/>
    <mergeCell ref="H1062:H1063"/>
    <mergeCell ref="H1069:H1070"/>
    <mergeCell ref="H1077:H1078"/>
    <mergeCell ref="H1081:H1082"/>
    <mergeCell ref="H978:H979"/>
    <mergeCell ref="H986:H987"/>
    <mergeCell ref="H997:H998"/>
    <mergeCell ref="H1002:H1003"/>
    <mergeCell ref="A1123:B1123"/>
    <mergeCell ref="A1124:B1124"/>
    <mergeCell ref="H1101:H1102"/>
    <mergeCell ref="H1109:H1110"/>
    <mergeCell ref="H1114:H1115"/>
    <mergeCell ref="A1113:B1113"/>
    <mergeCell ref="A1114:B1114"/>
    <mergeCell ref="A1115:B1116"/>
    <mergeCell ref="A1110:B1111"/>
    <mergeCell ref="C1110:C1111"/>
    <mergeCell ref="C1082:C1086"/>
    <mergeCell ref="A1082:B1086"/>
    <mergeCell ref="C1055:C1059"/>
    <mergeCell ref="A1055:B1059"/>
    <mergeCell ref="A1118:B1118"/>
    <mergeCell ref="A1119:B1119"/>
    <mergeCell ref="C1115:C1116"/>
    <mergeCell ref="A1076:B1076"/>
    <mergeCell ref="A1068:B1068"/>
    <mergeCell ref="A1069:B1069"/>
    <mergeCell ref="A566:C566"/>
    <mergeCell ref="A570:C570"/>
    <mergeCell ref="C22:D22"/>
    <mergeCell ref="C24:D24"/>
    <mergeCell ref="A22:B22"/>
    <mergeCell ref="A24:B24"/>
    <mergeCell ref="C46:D46"/>
    <mergeCell ref="A522:C522"/>
    <mergeCell ref="A490:E490"/>
    <mergeCell ref="C52:D52"/>
    <mergeCell ref="A52:B52"/>
    <mergeCell ref="C979:C983"/>
    <mergeCell ref="A979:B983"/>
    <mergeCell ref="A1128:B1128"/>
    <mergeCell ref="C49:D49"/>
    <mergeCell ref="C50:D50"/>
    <mergeCell ref="A49:B49"/>
    <mergeCell ref="A50:B50"/>
    <mergeCell ref="A862:B862"/>
    <mergeCell ref="A57:B57"/>
    <mergeCell ref="C1130:C1131"/>
    <mergeCell ref="H1129:H1130"/>
    <mergeCell ref="C758:C760"/>
    <mergeCell ref="A758:B760"/>
    <mergeCell ref="H862:H863"/>
    <mergeCell ref="A863:B863"/>
    <mergeCell ref="H1119:H1120"/>
    <mergeCell ref="H1124:H1125"/>
    <mergeCell ref="A1125:B1126"/>
    <mergeCell ref="C1125:C1126"/>
    <mergeCell ref="A1135:B1135"/>
    <mergeCell ref="T1135:X1135"/>
    <mergeCell ref="C40:D40"/>
    <mergeCell ref="A40:B40"/>
    <mergeCell ref="C48:D48"/>
    <mergeCell ref="C57:D57"/>
    <mergeCell ref="C59:D59"/>
    <mergeCell ref="A48:B48"/>
    <mergeCell ref="A1129:B1129"/>
    <mergeCell ref="A1130:B1131"/>
    <mergeCell ref="H1134:H1135"/>
    <mergeCell ref="A59:B59"/>
    <mergeCell ref="C8:D8"/>
    <mergeCell ref="C21:D21"/>
    <mergeCell ref="C23:D23"/>
    <mergeCell ref="A8:B8"/>
    <mergeCell ref="A21:B21"/>
    <mergeCell ref="A23:B23"/>
    <mergeCell ref="A1133:B1133"/>
    <mergeCell ref="A1134:B1134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5" manualBreakCount="15">
    <brk id="60" max="4" man="1"/>
    <brk id="120" max="4" man="1"/>
    <brk id="183" max="4" man="1"/>
    <brk id="246" max="4" man="1"/>
    <brk id="307" max="4" man="1"/>
    <brk id="368" max="4" man="1"/>
    <brk id="434" max="4" man="1"/>
    <brk id="488" max="4" man="1"/>
    <brk id="546" max="4" man="1"/>
    <brk id="617" max="4" man="1"/>
    <brk id="696" max="4" man="1"/>
    <brk id="863" max="4" man="1"/>
    <brk id="935" max="4" man="1"/>
    <brk id="1012" max="4" man="1"/>
    <brk id="10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93" zoomScaleSheetLayoutView="93" zoomScalePageLayoutView="0" workbookViewId="0" topLeftCell="A1">
      <selection activeCell="E19" sqref="E19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140625" style="0" hidden="1" customWidth="1"/>
    <col min="5" max="5" width="119.7109375" style="0" customWidth="1"/>
  </cols>
  <sheetData>
    <row r="1" spans="1:3" ht="18">
      <c r="A1" s="363" t="s">
        <v>84</v>
      </c>
      <c r="B1" s="363"/>
      <c r="C1" s="363"/>
    </row>
    <row r="2" spans="1:2" ht="12.75">
      <c r="A2" s="30" t="str">
        <f>scrap!A2</f>
        <v>E - Auction Notice No. -</v>
      </c>
      <c r="B2" s="29" t="str">
        <f>scrap!D2</f>
        <v>EA-64 /PTA-2023-24</v>
      </c>
    </row>
    <row r="3" spans="1:2" ht="12.75">
      <c r="A3" s="30" t="str">
        <f>scrap!A3</f>
        <v>Date of Auction -</v>
      </c>
      <c r="B3" s="29" t="str">
        <f>scrap!D3</f>
        <v>16.01.2024</v>
      </c>
    </row>
    <row r="4" spans="1:2" ht="12.75">
      <c r="A4" s="30"/>
      <c r="B4" s="29"/>
    </row>
    <row r="5" spans="1:3" s="26" customFormat="1" ht="20.25" customHeight="1">
      <c r="A5" s="79" t="s">
        <v>5</v>
      </c>
      <c r="B5" s="157" t="s">
        <v>81</v>
      </c>
      <c r="C5" s="156" t="s">
        <v>82</v>
      </c>
    </row>
    <row r="6" spans="1:5" s="26" customFormat="1" ht="20.25" customHeight="1">
      <c r="A6" s="86" t="s">
        <v>274</v>
      </c>
      <c r="B6" s="106" t="s">
        <v>160</v>
      </c>
      <c r="C6" s="46">
        <v>228</v>
      </c>
      <c r="E6" s="103" t="str">
        <f aca="true" t="shared" si="0" ref="E6:E15">CONCATENATE("E-Waste Scrap (Meter scrap), Lying at ",B6,". Quantity in Kg - ",C6,)</f>
        <v>E-Waste Scrap (Meter scrap), Lying at ME LAB PATIALA (Crushed Meter Scrap/E-Waste). Quantity in Kg - 228</v>
      </c>
    </row>
    <row r="7" spans="1:5" s="26" customFormat="1" ht="20.25" customHeight="1">
      <c r="A7" s="86" t="s">
        <v>275</v>
      </c>
      <c r="B7" s="106" t="s">
        <v>152</v>
      </c>
      <c r="C7" s="46">
        <v>1025</v>
      </c>
      <c r="D7" s="26">
        <v>310</v>
      </c>
      <c r="E7" s="103" t="str">
        <f t="shared" si="0"/>
        <v>E-Waste Scrap (Meter scrap), Lying at ME LAB SANGRUR (Crushed Meter Scrap/E-Waste). Quantity in Kg - 1025</v>
      </c>
    </row>
    <row r="8" spans="1:5" s="26" customFormat="1" ht="20.25" customHeight="1">
      <c r="A8" s="86" t="s">
        <v>276</v>
      </c>
      <c r="B8" s="106" t="s">
        <v>153</v>
      </c>
      <c r="C8" s="46">
        <v>139</v>
      </c>
      <c r="D8" s="26">
        <v>127</v>
      </c>
      <c r="E8" s="103" t="str">
        <f t="shared" si="0"/>
        <v>E-Waste Scrap (Meter scrap), Lying at ME LAB ROPAR (Crushed Meter Scrap/E-Waste). Quantity in Kg - 139</v>
      </c>
    </row>
    <row r="9" spans="1:5" s="26" customFormat="1" ht="20.25" customHeight="1">
      <c r="A9" s="86" t="s">
        <v>277</v>
      </c>
      <c r="B9" s="106" t="s">
        <v>272</v>
      </c>
      <c r="C9" s="46">
        <v>625.39</v>
      </c>
      <c r="E9" s="103" t="str">
        <f t="shared" si="0"/>
        <v>E-Waste Scrap (Meter scrap), Lying at ME LAB MOGA (Crushed Meter Scrap/E-Waste). Quantity in Kg - 625.39</v>
      </c>
    </row>
    <row r="10" spans="1:5" s="26" customFormat="1" ht="20.25" customHeight="1">
      <c r="A10" s="86" t="s">
        <v>278</v>
      </c>
      <c r="B10" s="106" t="s">
        <v>273</v>
      </c>
      <c r="C10" s="46">
        <v>1364.12</v>
      </c>
      <c r="E10" s="103" t="str">
        <f t="shared" si="0"/>
        <v>E-Waste Scrap (Meter scrap), Lying at ME LAB SHRI MUKTSAR SAHIB (Crushed Meter Scrap/E-Waste). Quantity in Kg - 1364.12</v>
      </c>
    </row>
    <row r="11" spans="1:5" s="26" customFormat="1" ht="20.25" customHeight="1">
      <c r="A11" s="86" t="s">
        <v>329</v>
      </c>
      <c r="B11" s="108" t="s">
        <v>328</v>
      </c>
      <c r="C11" s="73">
        <v>2663.065</v>
      </c>
      <c r="D11" s="135">
        <v>1719.865</v>
      </c>
      <c r="E11" s="103" t="str">
        <f t="shared" si="0"/>
        <v>E-Waste Scrap (Meter scrap), Lying at ME LAB SHRI MUKSAR SAHIB  (Electronic Meter Scrap/E-Waste )  . Quantity in Kg - 2663.065</v>
      </c>
    </row>
    <row r="12" spans="1:5" s="26" customFormat="1" ht="20.25" customHeight="1">
      <c r="A12" s="86" t="s">
        <v>435</v>
      </c>
      <c r="B12" s="108" t="s">
        <v>445</v>
      </c>
      <c r="C12" s="73">
        <v>3870</v>
      </c>
      <c r="D12" s="148" t="s">
        <v>242</v>
      </c>
      <c r="E12" s="103" t="str">
        <f t="shared" si="0"/>
        <v>E-Waste Scrap (Meter scrap), Lying at ME LAB SANGRUR  (Electronic Meter Scrap/E-Waste )  . Quantity in Kg - 3870</v>
      </c>
    </row>
    <row r="13" spans="1:5" s="26" customFormat="1" ht="20.25" customHeight="1">
      <c r="A13" s="86" t="s">
        <v>436</v>
      </c>
      <c r="B13" s="108" t="s">
        <v>446</v>
      </c>
      <c r="C13" s="73">
        <v>855</v>
      </c>
      <c r="D13" s="148" t="s">
        <v>242</v>
      </c>
      <c r="E13" s="103" t="str">
        <f t="shared" si="0"/>
        <v>E-Waste Scrap (Meter scrap), Lying at ME LAB ROPAR  (Electronic Meter Scrap/E-Waste )  . Quantity in Kg - 855</v>
      </c>
    </row>
    <row r="14" spans="1:5" s="26" customFormat="1" ht="20.25" customHeight="1">
      <c r="A14" s="86" t="s">
        <v>437</v>
      </c>
      <c r="B14" s="108" t="s">
        <v>458</v>
      </c>
      <c r="C14" s="73">
        <v>495.75</v>
      </c>
      <c r="D14" s="148" t="s">
        <v>242</v>
      </c>
      <c r="E14" s="103" t="str">
        <f t="shared" si="0"/>
        <v>E-Waste Scrap (Meter scrap), Lying at ME LAB BATHINDA  (Electronic Meter Scrap/E-Waste )  . Quantity in Kg - 495.75</v>
      </c>
    </row>
    <row r="15" spans="1:5" s="26" customFormat="1" ht="20.25" customHeight="1">
      <c r="A15" s="86" t="s">
        <v>460</v>
      </c>
      <c r="B15" s="108" t="s">
        <v>459</v>
      </c>
      <c r="C15" s="73">
        <v>421.592</v>
      </c>
      <c r="D15" s="148" t="s">
        <v>242</v>
      </c>
      <c r="E15" s="103" t="str">
        <f t="shared" si="0"/>
        <v>E-Waste Scrap (Meter scrap), Lying at ME LAB MOGA (Electronic Meter Scrap/E-Waste )  . Quantity in Kg - 421.592</v>
      </c>
    </row>
    <row r="16" spans="1:5" s="26" customFormat="1" ht="20.25" customHeight="1">
      <c r="A16" s="146"/>
      <c r="B16" s="85"/>
      <c r="C16" s="147"/>
      <c r="D16" s="148"/>
      <c r="E16" s="149"/>
    </row>
    <row r="17" spans="1:5" s="26" customFormat="1" ht="37.5" customHeight="1">
      <c r="A17" s="364" t="s">
        <v>387</v>
      </c>
      <c r="B17" s="364"/>
      <c r="C17" s="364"/>
      <c r="D17" s="150"/>
      <c r="E17" s="150"/>
    </row>
    <row r="18" spans="1:5" s="26" customFormat="1" ht="20.25" customHeight="1">
      <c r="A18" s="364"/>
      <c r="B18" s="364"/>
      <c r="C18" s="364"/>
      <c r="D18" s="151"/>
      <c r="E18" s="151"/>
    </row>
    <row r="19" spans="1:5" s="26" customFormat="1" ht="39.75" customHeight="1">
      <c r="A19" s="364"/>
      <c r="B19" s="364"/>
      <c r="C19" s="364"/>
      <c r="D19" s="148"/>
      <c r="E19" s="149"/>
    </row>
    <row r="20" spans="1:5" s="26" customFormat="1" ht="15" customHeight="1">
      <c r="A20" s="152"/>
      <c r="B20" s="155" t="s">
        <v>215</v>
      </c>
      <c r="C20" s="156" t="s">
        <v>386</v>
      </c>
      <c r="D20" s="148"/>
      <c r="E20" s="149"/>
    </row>
    <row r="21" spans="1:5" s="26" customFormat="1" ht="20.25" customHeight="1">
      <c r="A21" s="86" t="s">
        <v>461</v>
      </c>
      <c r="B21" s="108" t="s">
        <v>384</v>
      </c>
      <c r="C21" s="153">
        <v>1</v>
      </c>
      <c r="D21" s="148"/>
      <c r="E21" s="103" t="str">
        <f>CONCATENATE("E-Waste Scrap (U/S AC WINDOW), Lying at ",B21,". Quantity in No - ",C21,)</f>
        <v>E-Waste Scrap (U/S AC WINDOW), Lying at CS SANGRUR (U/S AC WINDOW). Quantity in No - 1</v>
      </c>
    </row>
    <row r="22" spans="1:5" s="26" customFormat="1" ht="20.25" customHeight="1">
      <c r="A22" s="86" t="s">
        <v>462</v>
      </c>
      <c r="B22" s="108" t="s">
        <v>385</v>
      </c>
      <c r="C22" s="153">
        <v>14</v>
      </c>
      <c r="D22" s="148"/>
      <c r="E22" s="103" t="str">
        <f>CONCATENATE("E-Waste Scrap (U/S AC WINDOW), Lying at ",B22,". Quantity in No - ",C22,)</f>
        <v>E-Waste Scrap (U/S AC WINDOW), Lying at CS PATIALA  (U/S AC WINDOW). Quantity in No - 14</v>
      </c>
    </row>
    <row r="23" spans="1:5" s="26" customFormat="1" ht="20.25" customHeight="1">
      <c r="A23" s="86" t="s">
        <v>463</v>
      </c>
      <c r="B23" s="108" t="s">
        <v>397</v>
      </c>
      <c r="C23" s="153">
        <v>18</v>
      </c>
      <c r="D23" s="148"/>
      <c r="E23" s="103" t="str">
        <f>CONCATENATE("E-Waste Scrap (U/S STABLIZERS), Lying at ",B23,". Quantity in No - ",C23,)</f>
        <v>E-Waste Scrap (U/S STABLIZERS), Lying at CS PATIALA  (U/S STABLIZERS). Quantity in No - 18</v>
      </c>
    </row>
    <row r="24" spans="1:5" s="26" customFormat="1" ht="20.25" customHeight="1">
      <c r="A24" s="146"/>
      <c r="B24" s="160"/>
      <c r="C24" s="159"/>
      <c r="D24" s="148"/>
      <c r="E24" s="149"/>
    </row>
    <row r="25" spans="1:3" s="26" customFormat="1" ht="15" customHeight="1">
      <c r="A25" s="36"/>
      <c r="B25" s="37"/>
      <c r="C25" s="85"/>
    </row>
    <row r="26" spans="1:3" s="26" customFormat="1" ht="15.75">
      <c r="A26" s="31" t="s">
        <v>83</v>
      </c>
      <c r="B26" s="32" t="s">
        <v>87</v>
      </c>
      <c r="C26" s="33" t="s">
        <v>86</v>
      </c>
    </row>
    <row r="27" spans="1:3" s="26" customFormat="1" ht="15.75">
      <c r="A27" s="31" t="s">
        <v>85</v>
      </c>
      <c r="B27" s="31" t="s">
        <v>85</v>
      </c>
      <c r="C27" s="31" t="s">
        <v>85</v>
      </c>
    </row>
    <row r="28" spans="1:3" s="26" customFormat="1" ht="15">
      <c r="A28" s="27"/>
      <c r="B28" s="28"/>
      <c r="C28" s="27"/>
    </row>
  </sheetData>
  <sheetProtection/>
  <mergeCells count="2">
    <mergeCell ref="A1:C1"/>
    <mergeCell ref="A17:C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2024-01-12T07:22:02Z</cp:lastPrinted>
  <dcterms:created xsi:type="dcterms:W3CDTF">1996-10-14T23:33:28Z</dcterms:created>
  <dcterms:modified xsi:type="dcterms:W3CDTF">2024-01-12T07:51:06Z</dcterms:modified>
  <cp:category/>
  <cp:version/>
  <cp:contentType/>
  <cp:contentStatus/>
</cp:coreProperties>
</file>